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tables/table1.xml" ContentType="application/vnd.openxmlformats-officedocument.spreadsheetml.table+xml"/>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Kay\12-Dash Board - Scorecard\2-Scorecard\FY 2021\Jun 2021\"/>
    </mc:Choice>
  </mc:AlternateContent>
  <bookViews>
    <workbookView xWindow="-120" yWindow="-120" windowWidth="24240" windowHeight="13140" tabRatio="933"/>
  </bookViews>
  <sheets>
    <sheet name="Home Page" sheetId="72" r:id="rId1"/>
    <sheet name="5 Year ScoreCard" sheetId="59" r:id="rId2"/>
    <sheet name="Yr Over Yr Metrics and Trends" sheetId="85" r:id="rId3"/>
    <sheet name="Assumptions" sheetId="20" r:id="rId4"/>
    <sheet name="Key Metric Settings" sheetId="83" state="hidden" r:id="rId5"/>
    <sheet name="Calculations" sheetId="84" state="hidden" r:id="rId6"/>
    <sheet name="Financial Data Input" sheetId="82" state="hidden" r:id="rId7"/>
    <sheet name="Tables for Filters" sheetId="73" state="hidden" r:id="rId8"/>
    <sheet name="PCards" sheetId="64" state="hidden" r:id="rId9"/>
    <sheet name="Retro Pay" sheetId="65" state="hidden" r:id="rId10"/>
    <sheet name="SP Retro Pay" sheetId="66" state="hidden" r:id="rId11"/>
    <sheet name="Effort Cert" sheetId="71" state="hidden" r:id="rId12"/>
    <sheet name="Cash Handling" sheetId="67" state="hidden" r:id="rId13"/>
    <sheet name="Credit Card" sheetId="68" state="hidden" r:id="rId14"/>
    <sheet name="Concur Approvers" sheetId="63" state="hidden" r:id="rId15"/>
    <sheet name="Gift Funds" sheetId="69" state="hidden" r:id="rId16"/>
    <sheet name="Financial Aid" sheetId="70" state="hidden" r:id="rId17"/>
    <sheet name="Capital Equipment" sheetId="76" state="hidden" r:id="rId18"/>
    <sheet name="T&amp;E Spend" sheetId="86" state="hidden" r:id="rId19"/>
    <sheet name="Certification Responses" sheetId="75" state="hidden" r:id="rId20"/>
  </sheets>
  <definedNames>
    <definedName name="lstMetrics" localSheetId="5">OFFSET('Financial Data Input'!$B$7:$B$66,0,0,COUNTA('Financial Data Input'!$B$7:$B$66))</definedName>
    <definedName name="lstMetrics" localSheetId="4">OFFSET('Financial Data Input'!$B$7:$B$66,0,0,COUNTA('Financial Data Input'!$B$7:$B$66))</definedName>
    <definedName name="lstMetrics" localSheetId="2">OFFSET('Financial Data Input'!$B$7:$B$66,0,0,COUNTA('Financial Data Input'!$B$7:$B$66))</definedName>
    <definedName name="lstMetrics">OFFSET('Financial Data Input'!$B$7:$B$66,0,0,COUNTA('Financial Data Input'!$B$7:$B$66))</definedName>
    <definedName name="lstYears" localSheetId="5">OFFSET('Financial Data Input'!$B$6:$G$6,0,1,1,COUNTA('Financial Data Input'!$B$6:$G$6)-1)</definedName>
    <definedName name="lstYears" localSheetId="4">OFFSET('Financial Data Input'!$B$6:$G$6,0,1,1,COUNTA('Financial Data Input'!$B$6:$G$6)-1)</definedName>
    <definedName name="lstYears" localSheetId="2">OFFSET('Financial Data Input'!$B$6:$G$6,0,1,1,COUNTA('Financial Data Input'!$B$6:$G$6)-1)</definedName>
    <definedName name="lstYears">OFFSET('Financial Data Input'!$B$6:$G$6,0,1,1,COUNTA('Financial Data Input'!$B$6:$G$6)-1)</definedName>
    <definedName name="_xlnm.Print_Area" localSheetId="1">'5 Year ScoreCard'!$A$2:$K$96</definedName>
    <definedName name="_xlnm.Print_Area" localSheetId="3">Assumptions!$A$1:$F$91</definedName>
    <definedName name="_xlnm.Print_Area" localSheetId="2">'Yr Over Yr Metrics and Trends'!$B$1:$M$96</definedName>
    <definedName name="_xlnm.Print_Titles" localSheetId="1">'5 Year ScoreCard'!$2:$2</definedName>
    <definedName name="_xlnm.Print_Titles" localSheetId="3">Assumptions!$1:$2</definedName>
    <definedName name="_xlnm.Print_Titles" localSheetId="2">'Yr Over Yr Metrics and Trends'!$15:$15</definedName>
    <definedName name="SelectedYear">'Yr Over Yr Metrics and Trends'!$L$2</definedName>
    <definedName name="Years" localSheetId="2">Calculations!$I$6</definedName>
    <definedName name="Years">Calculations!$I$6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H53" i="75" l="1"/>
  <c r="BB53" i="75"/>
  <c r="AV53" i="75"/>
  <c r="AP53" i="75"/>
  <c r="AJ53" i="75"/>
  <c r="AD53" i="75"/>
  <c r="X53" i="75"/>
  <c r="R53" i="75"/>
  <c r="L53" i="75"/>
  <c r="F53" i="75"/>
  <c r="P49" i="71" l="1"/>
  <c r="P37" i="71"/>
  <c r="P12" i="71"/>
  <c r="Q7" i="71" l="1"/>
  <c r="Q8" i="71"/>
  <c r="Q9" i="71"/>
  <c r="Q10" i="71"/>
  <c r="Q11" i="71"/>
  <c r="Q12" i="71"/>
  <c r="Q13" i="71"/>
  <c r="Q14" i="71"/>
  <c r="Q15" i="71"/>
  <c r="Q16" i="71"/>
  <c r="Q17" i="71"/>
  <c r="Q18" i="71"/>
  <c r="Q19" i="71"/>
  <c r="Q20" i="71"/>
  <c r="Q21" i="71"/>
  <c r="Q22" i="71"/>
  <c r="Q23" i="71"/>
  <c r="Q24" i="71"/>
  <c r="Q25" i="71"/>
  <c r="Q26" i="71"/>
  <c r="Q27" i="71"/>
  <c r="Q28" i="71"/>
  <c r="Q29" i="71"/>
  <c r="Q30" i="71"/>
  <c r="Q31" i="71"/>
  <c r="Q32" i="71"/>
  <c r="Q33" i="71"/>
  <c r="Q34" i="71"/>
  <c r="Q35" i="71"/>
  <c r="Q36" i="71"/>
  <c r="Q37" i="71"/>
  <c r="Q38" i="71"/>
  <c r="Q39" i="71"/>
  <c r="Q40" i="71"/>
  <c r="Q41" i="71"/>
  <c r="Q42" i="71"/>
  <c r="Q43" i="71"/>
  <c r="Q44" i="71"/>
  <c r="Q45" i="71"/>
  <c r="Q46" i="71"/>
  <c r="Q47" i="71"/>
  <c r="Q48" i="71"/>
  <c r="Q49" i="71"/>
  <c r="Q50" i="71"/>
  <c r="Q51" i="71"/>
  <c r="BJ7" i="75"/>
  <c r="BJ8" i="75"/>
  <c r="BJ9" i="75"/>
  <c r="BJ10" i="75"/>
  <c r="BJ11" i="75"/>
  <c r="BJ12" i="75"/>
  <c r="BJ13" i="75"/>
  <c r="BJ14" i="75"/>
  <c r="BJ15" i="75"/>
  <c r="BJ16" i="75"/>
  <c r="BJ17" i="75"/>
  <c r="BJ18" i="75"/>
  <c r="BJ19" i="75"/>
  <c r="BJ20" i="75"/>
  <c r="BJ21" i="75"/>
  <c r="BJ22" i="75"/>
  <c r="BJ23" i="75"/>
  <c r="BJ24" i="75"/>
  <c r="BJ25" i="75"/>
  <c r="BJ26" i="75"/>
  <c r="BJ27" i="75"/>
  <c r="BJ28" i="75"/>
  <c r="BJ29" i="75"/>
  <c r="BJ30" i="75"/>
  <c r="BJ31" i="75"/>
  <c r="BJ32" i="75"/>
  <c r="BJ33" i="75"/>
  <c r="BJ34" i="75"/>
  <c r="BJ35" i="75"/>
  <c r="BJ36" i="75"/>
  <c r="BJ37" i="75"/>
  <c r="BJ38" i="75"/>
  <c r="BJ39" i="75"/>
  <c r="BJ40" i="75"/>
  <c r="BJ41" i="75"/>
  <c r="BJ42" i="75"/>
  <c r="BJ43" i="75"/>
  <c r="BJ44" i="75"/>
  <c r="BJ45" i="75"/>
  <c r="BJ46" i="75"/>
  <c r="BJ47" i="75"/>
  <c r="BJ48" i="75"/>
  <c r="BJ49" i="75"/>
  <c r="BJ50" i="75"/>
  <c r="BJ51" i="75"/>
  <c r="BJ6" i="75"/>
  <c r="U7" i="63"/>
  <c r="U8" i="63"/>
  <c r="U9" i="63"/>
  <c r="U10" i="63"/>
  <c r="U11" i="63"/>
  <c r="U12" i="63"/>
  <c r="U13" i="63"/>
  <c r="U14" i="63"/>
  <c r="U15" i="63"/>
  <c r="U16" i="63"/>
  <c r="U17" i="63"/>
  <c r="U18" i="63"/>
  <c r="U19" i="63"/>
  <c r="U20" i="63"/>
  <c r="U21" i="63"/>
  <c r="U22" i="63"/>
  <c r="U23" i="63"/>
  <c r="U24" i="63"/>
  <c r="U25" i="63"/>
  <c r="U26" i="63"/>
  <c r="U27" i="63"/>
  <c r="U28" i="63"/>
  <c r="U29" i="63"/>
  <c r="U30" i="63"/>
  <c r="U31" i="63"/>
  <c r="U32" i="63"/>
  <c r="U33" i="63"/>
  <c r="U34" i="63"/>
  <c r="U35" i="63"/>
  <c r="U36" i="63"/>
  <c r="U37" i="63"/>
  <c r="U38" i="63"/>
  <c r="U39" i="63"/>
  <c r="U40" i="63"/>
  <c r="U41" i="63"/>
  <c r="U42" i="63"/>
  <c r="U43" i="63"/>
  <c r="U44" i="63"/>
  <c r="U45" i="63"/>
  <c r="U46" i="63"/>
  <c r="U47" i="63"/>
  <c r="U48" i="63"/>
  <c r="U49" i="63"/>
  <c r="U50" i="63"/>
  <c r="U51" i="63"/>
  <c r="AJ7" i="67" l="1"/>
  <c r="AJ8" i="67"/>
  <c r="AJ9" i="67"/>
  <c r="AJ10" i="67"/>
  <c r="AJ11" i="67"/>
  <c r="AJ12" i="67"/>
  <c r="AJ13" i="67"/>
  <c r="AJ14" i="67"/>
  <c r="AJ15" i="67"/>
  <c r="AJ16" i="67"/>
  <c r="AJ17" i="67"/>
  <c r="AJ18" i="67"/>
  <c r="AJ19" i="67"/>
  <c r="AJ20" i="67"/>
  <c r="AJ21" i="67"/>
  <c r="AJ22" i="67"/>
  <c r="AJ23" i="67"/>
  <c r="AJ24" i="67"/>
  <c r="AJ25" i="67"/>
  <c r="AJ26" i="67"/>
  <c r="AJ27" i="67"/>
  <c r="AJ28" i="67"/>
  <c r="AJ29" i="67"/>
  <c r="AJ30" i="67"/>
  <c r="AJ31" i="67"/>
  <c r="AJ32" i="67"/>
  <c r="AJ33" i="67"/>
  <c r="AJ34" i="67"/>
  <c r="AJ35" i="67"/>
  <c r="AJ36" i="67"/>
  <c r="AJ37" i="67"/>
  <c r="AJ38" i="67"/>
  <c r="AJ39" i="67"/>
  <c r="AJ40" i="67"/>
  <c r="AJ41" i="67"/>
  <c r="AJ42" i="67"/>
  <c r="AJ43" i="67"/>
  <c r="AJ44" i="67"/>
  <c r="AJ45" i="67"/>
  <c r="AJ46" i="67"/>
  <c r="AJ47" i="67"/>
  <c r="AJ48" i="67"/>
  <c r="AJ49" i="67"/>
  <c r="AJ50" i="67"/>
  <c r="AJ51" i="67"/>
  <c r="BC22" i="68" l="1"/>
  <c r="BD7" i="68"/>
  <c r="BD8" i="68"/>
  <c r="BD9" i="68"/>
  <c r="BD10" i="68"/>
  <c r="BD11" i="68"/>
  <c r="BD12" i="68"/>
  <c r="BD13" i="68"/>
  <c r="BD14" i="68"/>
  <c r="BD15" i="68"/>
  <c r="BD16" i="68"/>
  <c r="BD17" i="68"/>
  <c r="BD18" i="68"/>
  <c r="BD19" i="68"/>
  <c r="BD20" i="68"/>
  <c r="BD21" i="68"/>
  <c r="BD22" i="68"/>
  <c r="BD23" i="68"/>
  <c r="BD24" i="68"/>
  <c r="BD25" i="68"/>
  <c r="BD26" i="68"/>
  <c r="BD27" i="68"/>
  <c r="BD28" i="68"/>
  <c r="BD29" i="68"/>
  <c r="BD30" i="68"/>
  <c r="BD31" i="68"/>
  <c r="BD32" i="68"/>
  <c r="BD33" i="68"/>
  <c r="BD34" i="68"/>
  <c r="BD35" i="68"/>
  <c r="BD36" i="68"/>
  <c r="BD37" i="68"/>
  <c r="BD38" i="68"/>
  <c r="BD39" i="68"/>
  <c r="BD40" i="68"/>
  <c r="BD41" i="68"/>
  <c r="BD42" i="68"/>
  <c r="BD43" i="68"/>
  <c r="BD44" i="68"/>
  <c r="BD45" i="68"/>
  <c r="BD46" i="68"/>
  <c r="BD47" i="68"/>
  <c r="BD48" i="68"/>
  <c r="BD49" i="68"/>
  <c r="BD50" i="68"/>
  <c r="BD51" i="68"/>
  <c r="U7" i="86" l="1"/>
  <c r="U8" i="86"/>
  <c r="U9" i="86"/>
  <c r="U10" i="86"/>
  <c r="U11" i="86"/>
  <c r="U12" i="86"/>
  <c r="U13" i="86"/>
  <c r="U14" i="86"/>
  <c r="U15" i="86"/>
  <c r="U16" i="86"/>
  <c r="U17" i="86"/>
  <c r="U18" i="86"/>
  <c r="U19" i="86"/>
  <c r="U20" i="86"/>
  <c r="U21" i="86"/>
  <c r="U22" i="86"/>
  <c r="U23" i="86"/>
  <c r="U24" i="86"/>
  <c r="U25" i="86"/>
  <c r="U26" i="86"/>
  <c r="U27" i="86"/>
  <c r="U28" i="86"/>
  <c r="U29" i="86"/>
  <c r="U30" i="86"/>
  <c r="U31" i="86"/>
  <c r="U32" i="86"/>
  <c r="U33" i="86"/>
  <c r="U34" i="86"/>
  <c r="U35" i="86"/>
  <c r="U36" i="86"/>
  <c r="U37" i="86"/>
  <c r="U38" i="86"/>
  <c r="U39" i="86"/>
  <c r="U40" i="86"/>
  <c r="U41" i="86"/>
  <c r="U42" i="86"/>
  <c r="U43" i="86"/>
  <c r="U44" i="86"/>
  <c r="U45" i="86"/>
  <c r="U46" i="86"/>
  <c r="U47" i="86"/>
  <c r="U48" i="86"/>
  <c r="U49" i="86"/>
  <c r="U50" i="86"/>
  <c r="U51" i="86"/>
  <c r="AO38" i="70" l="1"/>
  <c r="AO39" i="70"/>
  <c r="AO40" i="70"/>
  <c r="AO41" i="70"/>
  <c r="AO42" i="70"/>
  <c r="AO43" i="70"/>
  <c r="AO44" i="70"/>
  <c r="AO45" i="70"/>
  <c r="AO46" i="70"/>
  <c r="AO47" i="70"/>
  <c r="AO48" i="70"/>
  <c r="AO49" i="70"/>
  <c r="AO50" i="70"/>
  <c r="AO51" i="70"/>
  <c r="AO52" i="70"/>
  <c r="AO7" i="70"/>
  <c r="AO8" i="70"/>
  <c r="AO9" i="70"/>
  <c r="AO10" i="70"/>
  <c r="AO11" i="70"/>
  <c r="AO12" i="70"/>
  <c r="AO13" i="70"/>
  <c r="AO14" i="70"/>
  <c r="AO15" i="70"/>
  <c r="AO16" i="70"/>
  <c r="AO17" i="70"/>
  <c r="AO18" i="70"/>
  <c r="AO19" i="70"/>
  <c r="AO20" i="70"/>
  <c r="AO21" i="70"/>
  <c r="AO22" i="70"/>
  <c r="AO23" i="70"/>
  <c r="AO24" i="70"/>
  <c r="AO25" i="70"/>
  <c r="AO26" i="70"/>
  <c r="AO27" i="70"/>
  <c r="AO28" i="70"/>
  <c r="AO29" i="70"/>
  <c r="AO30" i="70"/>
  <c r="AO31" i="70"/>
  <c r="AO32" i="70"/>
  <c r="AO33" i="70"/>
  <c r="AO34" i="70"/>
  <c r="AO35" i="70"/>
  <c r="AO36" i="70"/>
  <c r="AO37" i="70"/>
  <c r="AL13" i="70"/>
  <c r="AJ13" i="70"/>
  <c r="AC7" i="76"/>
  <c r="AC8" i="76"/>
  <c r="AC9" i="76"/>
  <c r="AC10" i="76"/>
  <c r="AC11" i="76"/>
  <c r="AC12" i="76"/>
  <c r="AC13" i="76"/>
  <c r="AC14" i="76"/>
  <c r="AC15" i="76"/>
  <c r="AC16" i="76"/>
  <c r="AC17" i="76"/>
  <c r="AC18" i="76"/>
  <c r="AC19" i="76"/>
  <c r="AC20" i="76"/>
  <c r="AC21" i="76"/>
  <c r="AC22" i="76"/>
  <c r="AC23" i="76"/>
  <c r="AC24" i="76"/>
  <c r="AC25" i="76"/>
  <c r="AC26" i="76"/>
  <c r="AC27" i="76"/>
  <c r="AC28" i="76"/>
  <c r="AC29" i="76"/>
  <c r="AC30" i="76"/>
  <c r="AC31" i="76"/>
  <c r="AC32" i="76"/>
  <c r="AC33" i="76"/>
  <c r="AC34" i="76"/>
  <c r="AC35" i="76"/>
  <c r="AC36" i="76"/>
  <c r="AC37" i="76"/>
  <c r="AC38" i="76"/>
  <c r="AC39" i="76"/>
  <c r="AC40" i="76"/>
  <c r="AC41" i="76"/>
  <c r="AC42" i="76"/>
  <c r="AC43" i="76"/>
  <c r="AC44" i="76"/>
  <c r="AC45" i="76"/>
  <c r="AC46" i="76"/>
  <c r="AC47" i="76"/>
  <c r="AC48" i="76"/>
  <c r="AC49" i="76"/>
  <c r="AC50" i="76"/>
  <c r="AC51" i="76"/>
  <c r="AB51" i="76" l="1"/>
  <c r="AB50" i="76"/>
  <c r="U7" i="69" l="1"/>
  <c r="U8" i="69"/>
  <c r="U9" i="69"/>
  <c r="U10" i="69"/>
  <c r="U11" i="69"/>
  <c r="U12" i="69"/>
  <c r="U13" i="69"/>
  <c r="U14" i="69"/>
  <c r="U15" i="69"/>
  <c r="U16" i="69"/>
  <c r="U17" i="69"/>
  <c r="U18" i="69"/>
  <c r="U19" i="69"/>
  <c r="U20" i="69"/>
  <c r="U21" i="69"/>
  <c r="U22" i="69"/>
  <c r="U23" i="69"/>
  <c r="U24" i="69"/>
  <c r="U25" i="69"/>
  <c r="U26" i="69"/>
  <c r="U27" i="69"/>
  <c r="U28" i="69"/>
  <c r="U29" i="69"/>
  <c r="U30" i="69"/>
  <c r="U31" i="69"/>
  <c r="U32" i="69"/>
  <c r="U33" i="69"/>
  <c r="U34" i="69"/>
  <c r="U35" i="69"/>
  <c r="U36" i="69"/>
  <c r="U37" i="69"/>
  <c r="U38" i="69"/>
  <c r="U39" i="69"/>
  <c r="U40" i="69"/>
  <c r="U41" i="69"/>
  <c r="U42" i="69"/>
  <c r="U43" i="69"/>
  <c r="U44" i="69"/>
  <c r="U45" i="69"/>
  <c r="U46" i="69"/>
  <c r="U47" i="69"/>
  <c r="U48" i="69"/>
  <c r="U49" i="69"/>
  <c r="U50" i="69"/>
  <c r="U51" i="69"/>
  <c r="AB40" i="66" l="1"/>
  <c r="AB15" i="66"/>
  <c r="AE7" i="66"/>
  <c r="AE8" i="66"/>
  <c r="AE9" i="66"/>
  <c r="AE10" i="66"/>
  <c r="AE11" i="66"/>
  <c r="AE12" i="66"/>
  <c r="AE13" i="66"/>
  <c r="AE14" i="66"/>
  <c r="AE15" i="66"/>
  <c r="AE16" i="66"/>
  <c r="AE17" i="66"/>
  <c r="AE18" i="66"/>
  <c r="AE19" i="66"/>
  <c r="AE20" i="66"/>
  <c r="AE21" i="66"/>
  <c r="AE22" i="66"/>
  <c r="AE23" i="66"/>
  <c r="AE24" i="66"/>
  <c r="AE25" i="66"/>
  <c r="AE26" i="66"/>
  <c r="AE27" i="66"/>
  <c r="AE28" i="66"/>
  <c r="AE29" i="66"/>
  <c r="AE30" i="66"/>
  <c r="AE31" i="66"/>
  <c r="AE32" i="66"/>
  <c r="AE33" i="66"/>
  <c r="AE34" i="66"/>
  <c r="AE35" i="66"/>
  <c r="AE36" i="66"/>
  <c r="AE37" i="66"/>
  <c r="AE38" i="66"/>
  <c r="AE39" i="66"/>
  <c r="AE40" i="66"/>
  <c r="AE41" i="66"/>
  <c r="AE42" i="66"/>
  <c r="AE43" i="66"/>
  <c r="AE44" i="66"/>
  <c r="AE45" i="66"/>
  <c r="AE46" i="66"/>
  <c r="AE47" i="66"/>
  <c r="AE48" i="66"/>
  <c r="AE49" i="66"/>
  <c r="AE50" i="66"/>
  <c r="AE51" i="66"/>
  <c r="AV22" i="68" l="1"/>
  <c r="AE7" i="65"/>
  <c r="AE8" i="65"/>
  <c r="AE9" i="65"/>
  <c r="AE10" i="65"/>
  <c r="AE11" i="65"/>
  <c r="AE12" i="65"/>
  <c r="AE13" i="65"/>
  <c r="AE14" i="65"/>
  <c r="AE15" i="65"/>
  <c r="AE16" i="65"/>
  <c r="AE17" i="65"/>
  <c r="AE18" i="65"/>
  <c r="AE19" i="65"/>
  <c r="AE20" i="65"/>
  <c r="AE21" i="65"/>
  <c r="AE22" i="65"/>
  <c r="AE23" i="65"/>
  <c r="AE24" i="65"/>
  <c r="AE25" i="65"/>
  <c r="AE26" i="65"/>
  <c r="AE27" i="65"/>
  <c r="AE28" i="65"/>
  <c r="AE29" i="65"/>
  <c r="AE30" i="65"/>
  <c r="AE31" i="65"/>
  <c r="AE32" i="65"/>
  <c r="AE33" i="65"/>
  <c r="AE34" i="65"/>
  <c r="AE35" i="65"/>
  <c r="AE36" i="65"/>
  <c r="AE37" i="65"/>
  <c r="AE38" i="65"/>
  <c r="AE39" i="65"/>
  <c r="AE40" i="65"/>
  <c r="AE41" i="65"/>
  <c r="AE42" i="65"/>
  <c r="AE43" i="65"/>
  <c r="AE44" i="65"/>
  <c r="AE45" i="65"/>
  <c r="AE46" i="65"/>
  <c r="AE47" i="65"/>
  <c r="AE48" i="65"/>
  <c r="AE49" i="65"/>
  <c r="AE50" i="65"/>
  <c r="AE51" i="65"/>
  <c r="AJ13" i="64"/>
  <c r="AJ14" i="64"/>
  <c r="AJ15" i="64"/>
  <c r="AJ16" i="64"/>
  <c r="AJ17" i="64"/>
  <c r="AJ18" i="64"/>
  <c r="AJ19" i="64"/>
  <c r="AJ20" i="64"/>
  <c r="AJ21" i="64"/>
  <c r="AJ22" i="64"/>
  <c r="AJ23" i="64"/>
  <c r="AJ24" i="64"/>
  <c r="AJ25" i="64"/>
  <c r="AJ26" i="64"/>
  <c r="AJ27" i="64"/>
  <c r="AJ28" i="64"/>
  <c r="AJ29" i="64"/>
  <c r="AJ30" i="64"/>
  <c r="AJ31" i="64"/>
  <c r="AJ32" i="64"/>
  <c r="AJ33" i="64"/>
  <c r="AJ34" i="64"/>
  <c r="AJ35" i="64"/>
  <c r="AJ36" i="64"/>
  <c r="AJ37" i="64"/>
  <c r="AJ38" i="64"/>
  <c r="AJ39" i="64"/>
  <c r="AJ40" i="64"/>
  <c r="AJ41" i="64"/>
  <c r="AJ42" i="64"/>
  <c r="AJ43" i="64"/>
  <c r="AJ44" i="64"/>
  <c r="AJ45" i="64"/>
  <c r="AJ46" i="64"/>
  <c r="AJ47" i="64"/>
  <c r="AJ48" i="64"/>
  <c r="AJ49" i="64"/>
  <c r="AJ50" i="64"/>
  <c r="AJ51" i="64"/>
  <c r="D68" i="59" l="1"/>
  <c r="D78" i="59" s="1"/>
  <c r="H54" i="59"/>
  <c r="H68" i="59" s="1"/>
  <c r="H78" i="59" s="1"/>
  <c r="D39" i="59"/>
  <c r="D54" i="59" s="1"/>
  <c r="J22" i="59"/>
  <c r="J39" i="59" s="1"/>
  <c r="J54" i="59" s="1"/>
  <c r="J68" i="59" s="1"/>
  <c r="J78" i="59" s="1"/>
  <c r="H22" i="59"/>
  <c r="H39" i="59" s="1"/>
  <c r="F22" i="59"/>
  <c r="F39" i="59" s="1"/>
  <c r="F54" i="59" s="1"/>
  <c r="F68" i="59" s="1"/>
  <c r="F78" i="59" s="1"/>
  <c r="D22" i="59"/>
  <c r="B22" i="59"/>
  <c r="B39" i="59" s="1"/>
  <c r="B54" i="59" s="1"/>
  <c r="B68" i="59" s="1"/>
  <c r="B78" i="59" s="1"/>
  <c r="AB44" i="76" l="1"/>
  <c r="Z43" i="76"/>
  <c r="Z44" i="76"/>
  <c r="AJ48" i="70" l="1"/>
  <c r="AJ41" i="70"/>
  <c r="AB14" i="76" l="1"/>
  <c r="R7" i="86" l="1"/>
  <c r="R8" i="86"/>
  <c r="R9" i="86"/>
  <c r="R10" i="86"/>
  <c r="R11" i="86"/>
  <c r="R12" i="86"/>
  <c r="R13" i="86"/>
  <c r="R14" i="86"/>
  <c r="R15" i="86"/>
  <c r="R16" i="86"/>
  <c r="R17" i="86"/>
  <c r="R44" i="86"/>
  <c r="R18" i="86"/>
  <c r="R19" i="86"/>
  <c r="R20" i="86"/>
  <c r="R21" i="86"/>
  <c r="R22" i="86"/>
  <c r="R23" i="86"/>
  <c r="R24" i="86"/>
  <c r="R25" i="86"/>
  <c r="R26" i="86"/>
  <c r="R27" i="86"/>
  <c r="R28" i="86"/>
  <c r="R29" i="86"/>
  <c r="R30" i="86"/>
  <c r="R31" i="86"/>
  <c r="R32" i="86"/>
  <c r="R33" i="86"/>
  <c r="R34" i="86"/>
  <c r="R35" i="86"/>
  <c r="R36" i="86"/>
  <c r="R37" i="86"/>
  <c r="R38" i="86"/>
  <c r="R39" i="86"/>
  <c r="R40" i="86"/>
  <c r="R41" i="86"/>
  <c r="R42" i="86"/>
  <c r="R43" i="86"/>
  <c r="R45" i="86"/>
  <c r="R46" i="86"/>
  <c r="R47" i="86"/>
  <c r="R48" i="86"/>
  <c r="R49" i="86"/>
  <c r="R50" i="86"/>
  <c r="R51" i="86"/>
  <c r="R6" i="86"/>
  <c r="AB49" i="66" l="1"/>
  <c r="AB12" i="66"/>
  <c r="AB13" i="66"/>
  <c r="AH53" i="64" l="1"/>
  <c r="AF53" i="64"/>
  <c r="AE53" i="64"/>
  <c r="AD53" i="64"/>
  <c r="AI51" i="64"/>
  <c r="AG51" i="64"/>
  <c r="AI50" i="64"/>
  <c r="AG50" i="64"/>
  <c r="AI49" i="64"/>
  <c r="AG49" i="64"/>
  <c r="AI48" i="64"/>
  <c r="AG48" i="64"/>
  <c r="AI47" i="64"/>
  <c r="AG47" i="64"/>
  <c r="AI46" i="64"/>
  <c r="AG46" i="64"/>
  <c r="AI45" i="64"/>
  <c r="AG45" i="64"/>
  <c r="AI43" i="64"/>
  <c r="AG43" i="64"/>
  <c r="AI42" i="64"/>
  <c r="AG42" i="64"/>
  <c r="AI41" i="64"/>
  <c r="AG41" i="64"/>
  <c r="AI40" i="64"/>
  <c r="AG40" i="64"/>
  <c r="AI39" i="64"/>
  <c r="AG39" i="64"/>
  <c r="AI38" i="64"/>
  <c r="AG38" i="64"/>
  <c r="AI37" i="64"/>
  <c r="AG37" i="64"/>
  <c r="AI36" i="64"/>
  <c r="AG36" i="64"/>
  <c r="AI35" i="64"/>
  <c r="AG35" i="64"/>
  <c r="AI34" i="64"/>
  <c r="AG34" i="64"/>
  <c r="AI33" i="64"/>
  <c r="AG33" i="64"/>
  <c r="AI32" i="64"/>
  <c r="AG32" i="64"/>
  <c r="AI31" i="64"/>
  <c r="AG31" i="64"/>
  <c r="AI30" i="64"/>
  <c r="AG30" i="64"/>
  <c r="AI29" i="64"/>
  <c r="AG29" i="64"/>
  <c r="AI28" i="64"/>
  <c r="AG28" i="64"/>
  <c r="AI27" i="64"/>
  <c r="AG27" i="64"/>
  <c r="AI26" i="64"/>
  <c r="AG26" i="64"/>
  <c r="AI25" i="64"/>
  <c r="AG25" i="64"/>
  <c r="AI24" i="64"/>
  <c r="AG24" i="64"/>
  <c r="AI23" i="64"/>
  <c r="AG23" i="64"/>
  <c r="AI22" i="64"/>
  <c r="AG22" i="64"/>
  <c r="AI21" i="64"/>
  <c r="AG21" i="64"/>
  <c r="AI20" i="64"/>
  <c r="AG20" i="64"/>
  <c r="AI19" i="64"/>
  <c r="AG19" i="64"/>
  <c r="AI18" i="64"/>
  <c r="AG18" i="64"/>
  <c r="AI44" i="64"/>
  <c r="AG44" i="64"/>
  <c r="AI17" i="64"/>
  <c r="AG17" i="64"/>
  <c r="AI16" i="64"/>
  <c r="AG16" i="64"/>
  <c r="AI15" i="64"/>
  <c r="AG15" i="64"/>
  <c r="AI14" i="64"/>
  <c r="AG14" i="64"/>
  <c r="AI13" i="64"/>
  <c r="AG13" i="64"/>
  <c r="AI12" i="64"/>
  <c r="AG12" i="64"/>
  <c r="AI11" i="64"/>
  <c r="AG11" i="64"/>
  <c r="AI10" i="64"/>
  <c r="AG10" i="64"/>
  <c r="AI9" i="64"/>
  <c r="AG9" i="64"/>
  <c r="AI8" i="64"/>
  <c r="AG8" i="64"/>
  <c r="AI7" i="64"/>
  <c r="AG7" i="64"/>
  <c r="AI6" i="64"/>
  <c r="AG6" i="64"/>
  <c r="AI53" i="64" l="1"/>
  <c r="AG53" i="64"/>
  <c r="AD14" i="66" l="1"/>
  <c r="AD15" i="66"/>
  <c r="AD16" i="66"/>
  <c r="AD17" i="66"/>
  <c r="AD44" i="66"/>
  <c r="AD18" i="66"/>
  <c r="AD19" i="66"/>
  <c r="AD20" i="66"/>
  <c r="AD21" i="66"/>
  <c r="AD22" i="66"/>
  <c r="AD23" i="66"/>
  <c r="AD24" i="66"/>
  <c r="AD25" i="66"/>
  <c r="AD26" i="66"/>
  <c r="AD27" i="66"/>
  <c r="AD28" i="66"/>
  <c r="AD29" i="66"/>
  <c r="AD30" i="66"/>
  <c r="AD31" i="66"/>
  <c r="AD32" i="66"/>
  <c r="AD33" i="66"/>
  <c r="AD34" i="66"/>
  <c r="AD35" i="66"/>
  <c r="AD36" i="66"/>
  <c r="AD37" i="66"/>
  <c r="AD38" i="66"/>
  <c r="AD39" i="66"/>
  <c r="AD40" i="66"/>
  <c r="AD41" i="66"/>
  <c r="AD42" i="66"/>
  <c r="AD43" i="66"/>
  <c r="AD45" i="66"/>
  <c r="AD46" i="66"/>
  <c r="AD47" i="66"/>
  <c r="AD48" i="66"/>
  <c r="AD49" i="66"/>
  <c r="AD50" i="66"/>
  <c r="AD51" i="66"/>
  <c r="AD6" i="66"/>
  <c r="AD7" i="66"/>
  <c r="AD8" i="66"/>
  <c r="AD9" i="66"/>
  <c r="AD10" i="66"/>
  <c r="AD11" i="66"/>
  <c r="AD12" i="66"/>
  <c r="AD13" i="66"/>
  <c r="Z16" i="76" l="1"/>
  <c r="AL70" i="67" l="1"/>
  <c r="AJ7" i="64" l="1"/>
  <c r="AJ8" i="64"/>
  <c r="AJ9" i="64"/>
  <c r="AJ10" i="64"/>
  <c r="AJ11" i="64"/>
  <c r="AJ12" i="64"/>
  <c r="AB6" i="76" l="1"/>
  <c r="AJ6" i="67" l="1"/>
  <c r="AE6" i="66" l="1"/>
  <c r="AL6" i="70" l="1"/>
  <c r="R53" i="69"/>
  <c r="T7" i="63"/>
  <c r="T8" i="63"/>
  <c r="T9" i="63"/>
  <c r="T10" i="63"/>
  <c r="T11" i="63"/>
  <c r="T12" i="63"/>
  <c r="T13" i="63"/>
  <c r="T14" i="63"/>
  <c r="T15" i="63"/>
  <c r="T16" i="63"/>
  <c r="T17" i="63"/>
  <c r="T44" i="63"/>
  <c r="T18" i="63"/>
  <c r="T19" i="63"/>
  <c r="T20" i="63"/>
  <c r="T21" i="63"/>
  <c r="T22" i="63"/>
  <c r="T23" i="63"/>
  <c r="T24" i="63"/>
  <c r="T25" i="63"/>
  <c r="T26" i="63"/>
  <c r="T27" i="63"/>
  <c r="T28" i="63"/>
  <c r="T29" i="63"/>
  <c r="T30" i="63"/>
  <c r="T31" i="63"/>
  <c r="T32" i="63"/>
  <c r="T33" i="63"/>
  <c r="T34" i="63"/>
  <c r="T35" i="63"/>
  <c r="T36" i="63"/>
  <c r="T37" i="63"/>
  <c r="T38" i="63"/>
  <c r="T39" i="63"/>
  <c r="T40" i="63"/>
  <c r="T41" i="63"/>
  <c r="T42" i="63"/>
  <c r="T43" i="63"/>
  <c r="T45" i="63"/>
  <c r="T46" i="63"/>
  <c r="T47" i="63"/>
  <c r="T48" i="63"/>
  <c r="T49" i="63"/>
  <c r="T50" i="63"/>
  <c r="T51" i="63"/>
  <c r="AB6" i="66"/>
  <c r="AB9" i="66"/>
  <c r="AB10" i="66"/>
  <c r="AB11" i="66"/>
  <c r="AB14" i="66"/>
  <c r="AB17" i="66"/>
  <c r="AB44" i="66"/>
  <c r="AB18" i="66"/>
  <c r="AB21" i="66"/>
  <c r="AB22" i="66"/>
  <c r="AB23" i="66"/>
  <c r="AB26" i="66"/>
  <c r="AB27" i="66"/>
  <c r="AB28" i="66"/>
  <c r="AB29" i="66"/>
  <c r="AB30" i="66"/>
  <c r="AB31" i="66"/>
  <c r="AB32" i="66"/>
  <c r="AB33" i="66"/>
  <c r="AB34" i="66"/>
  <c r="AB35" i="66"/>
  <c r="AB36" i="66"/>
  <c r="AB38" i="66"/>
  <c r="AB39" i="66"/>
  <c r="AB41" i="66"/>
  <c r="AB42" i="66"/>
  <c r="AB43" i="66"/>
  <c r="AB47" i="66"/>
  <c r="AB50" i="66"/>
  <c r="AB51" i="66"/>
  <c r="AA53" i="66"/>
  <c r="T53" i="86" l="1"/>
  <c r="S53" i="86"/>
  <c r="R53" i="86"/>
  <c r="U6" i="86"/>
  <c r="Q6" i="71" l="1"/>
  <c r="AV12" i="68" l="1"/>
  <c r="AB9" i="76"/>
  <c r="AB10" i="76"/>
  <c r="AB11" i="76"/>
  <c r="AB12" i="76"/>
  <c r="AB13" i="76"/>
  <c r="AB18" i="76"/>
  <c r="AB22" i="76"/>
  <c r="AB23" i="76"/>
  <c r="AB27" i="76"/>
  <c r="AB28" i="76"/>
  <c r="AB29" i="76"/>
  <c r="AB30" i="76"/>
  <c r="AB31" i="76"/>
  <c r="AB32" i="76"/>
  <c r="AB34" i="76"/>
  <c r="AB35" i="76"/>
  <c r="AB42" i="76"/>
  <c r="AB43" i="76"/>
  <c r="AB47" i="76"/>
  <c r="AB39" i="76"/>
  <c r="AC6" i="76" l="1"/>
  <c r="AO6" i="70" l="1"/>
  <c r="U6" i="69" l="1"/>
  <c r="AJ6" i="64" l="1"/>
  <c r="E15" i="85" l="1"/>
  <c r="D15" i="85"/>
  <c r="Z7" i="76" l="1"/>
  <c r="Z9" i="76"/>
  <c r="Z10" i="76"/>
  <c r="Z12" i="76"/>
  <c r="Z14" i="76"/>
  <c r="Z15" i="76"/>
  <c r="Z22" i="76"/>
  <c r="Z23" i="76"/>
  <c r="Z27" i="76"/>
  <c r="Z29" i="76"/>
  <c r="Z33" i="76"/>
  <c r="Z35" i="76"/>
  <c r="Z38" i="76"/>
  <c r="Z50" i="76"/>
  <c r="Z51" i="76"/>
  <c r="U6" i="63" l="1"/>
  <c r="BD6" i="68" l="1"/>
  <c r="AE6" i="65"/>
  <c r="AH53" i="70" l="1"/>
  <c r="B67" i="84" l="1"/>
  <c r="B68" i="84"/>
  <c r="B69" i="84"/>
  <c r="B70" i="84"/>
  <c r="B72" i="84"/>
  <c r="B73" i="84"/>
  <c r="B15" i="84" l="1"/>
  <c r="A40" i="84" l="1"/>
  <c r="A41" i="84"/>
  <c r="A42" i="84"/>
  <c r="A43" i="84"/>
  <c r="A44" i="84"/>
  <c r="A45" i="84"/>
  <c r="A46" i="84"/>
  <c r="A47" i="84"/>
  <c r="A48" i="84"/>
  <c r="A49" i="84"/>
  <c r="A50" i="84"/>
  <c r="A51" i="84"/>
  <c r="A52" i="84"/>
  <c r="A53" i="84"/>
  <c r="A54" i="84"/>
  <c r="A55" i="84"/>
  <c r="A56" i="84"/>
  <c r="A57" i="84"/>
  <c r="A58" i="84"/>
  <c r="A59" i="84"/>
  <c r="A60" i="84"/>
  <c r="A61" i="84"/>
  <c r="A62" i="84"/>
  <c r="A63" i="84"/>
  <c r="A64" i="84"/>
  <c r="A65" i="84"/>
  <c r="A71" i="84"/>
  <c r="A66" i="84"/>
  <c r="A67" i="84"/>
  <c r="A68" i="84"/>
  <c r="A69" i="84"/>
  <c r="A70" i="84"/>
  <c r="A72" i="84"/>
  <c r="A73" i="84"/>
  <c r="B66" i="84" l="1"/>
  <c r="B86" i="85" s="1"/>
  <c r="B87" i="85"/>
  <c r="B88" i="85"/>
  <c r="B89" i="85"/>
  <c r="B90" i="85"/>
  <c r="B91" i="85"/>
  <c r="B92" i="85"/>
  <c r="B38" i="84"/>
  <c r="B39" i="84"/>
  <c r="B40" i="85" s="1"/>
  <c r="B40" i="84"/>
  <c r="B42" i="85" s="1"/>
  <c r="B41" i="84"/>
  <c r="B43" i="85" s="1"/>
  <c r="B42" i="84"/>
  <c r="B44" i="85" s="1"/>
  <c r="B43" i="84"/>
  <c r="B45" i="85" s="1"/>
  <c r="B44" i="84"/>
  <c r="B46" i="85" s="1"/>
  <c r="B45" i="84"/>
  <c r="B47" i="85" s="1"/>
  <c r="B46" i="84"/>
  <c r="B48" i="85" s="1"/>
  <c r="B47" i="84"/>
  <c r="B49" i="85" s="1"/>
  <c r="B48" i="84"/>
  <c r="B50" i="85" s="1"/>
  <c r="B49" i="84"/>
  <c r="B51" i="85" s="1"/>
  <c r="B50" i="84"/>
  <c r="B62" i="85" s="1"/>
  <c r="B51" i="84"/>
  <c r="B63" i="85" s="1"/>
  <c r="B52" i="84"/>
  <c r="B64" i="85" s="1"/>
  <c r="B53" i="84"/>
  <c r="B67" i="85" s="1"/>
  <c r="B54" i="84"/>
  <c r="B68" i="85" s="1"/>
  <c r="B55" i="84"/>
  <c r="B69" i="85" s="1"/>
  <c r="B56" i="84"/>
  <c r="B72" i="85" s="1"/>
  <c r="B57" i="84"/>
  <c r="B73" i="85" s="1"/>
  <c r="B58" i="84"/>
  <c r="B74" i="85" s="1"/>
  <c r="B59" i="84"/>
  <c r="B75" i="85" s="1"/>
  <c r="B60" i="84"/>
  <c r="B76" i="85" s="1"/>
  <c r="B61" i="84"/>
  <c r="B77" i="85" s="1"/>
  <c r="B62" i="84"/>
  <c r="B78" i="85" s="1"/>
  <c r="B63" i="84"/>
  <c r="B81" i="85" s="1"/>
  <c r="B64" i="84"/>
  <c r="B82" i="85" s="1"/>
  <c r="B65" i="84"/>
  <c r="B83" i="85" s="1"/>
  <c r="B71" i="84"/>
  <c r="B84" i="85" s="1"/>
  <c r="B3" i="85"/>
  <c r="B4" i="82" s="1"/>
  <c r="C62" i="82" l="1"/>
  <c r="E60" i="82"/>
  <c r="E54" i="82"/>
  <c r="F52" i="82"/>
  <c r="C51" i="82"/>
  <c r="D49" i="82"/>
  <c r="F47" i="82"/>
  <c r="C46" i="82"/>
  <c r="G61" i="82"/>
  <c r="D60" i="82"/>
  <c r="D54" i="82"/>
  <c r="E52" i="82"/>
  <c r="C49" i="82"/>
  <c r="E47" i="82"/>
  <c r="G45" i="82"/>
  <c r="D52" i="82"/>
  <c r="G48" i="82"/>
  <c r="F45" i="82"/>
  <c r="F49" i="82"/>
  <c r="F60" i="82"/>
  <c r="E49" i="82"/>
  <c r="D46" i="82"/>
  <c r="F50" i="82"/>
  <c r="F61" i="82"/>
  <c r="C60" i="82"/>
  <c r="C54" i="82"/>
  <c r="E50" i="82"/>
  <c r="D47" i="82"/>
  <c r="D53" i="82"/>
  <c r="C48" i="82"/>
  <c r="D62" i="82"/>
  <c r="D51" i="82"/>
  <c r="E61" i="82"/>
  <c r="G58" i="82"/>
  <c r="G53" i="82"/>
  <c r="C52" i="82"/>
  <c r="D50" i="82"/>
  <c r="F48" i="82"/>
  <c r="C47" i="82"/>
  <c r="E45" i="82"/>
  <c r="G54" i="82"/>
  <c r="E46" i="82"/>
  <c r="F54" i="82"/>
  <c r="C53" i="82"/>
  <c r="G47" i="82"/>
  <c r="G62" i="82"/>
  <c r="D61" i="82"/>
  <c r="G56" i="82"/>
  <c r="F53" i="82"/>
  <c r="G51" i="82"/>
  <c r="C50" i="82"/>
  <c r="E48" i="82"/>
  <c r="G46" i="82"/>
  <c r="D45" i="82"/>
  <c r="F62" i="82"/>
  <c r="C61" i="82"/>
  <c r="G55" i="82"/>
  <c r="E53" i="82"/>
  <c r="F51" i="82"/>
  <c r="G49" i="82"/>
  <c r="D48" i="82"/>
  <c r="F46" i="82"/>
  <c r="C45" i="82"/>
  <c r="E62" i="82"/>
  <c r="G60" i="82"/>
  <c r="E51" i="82"/>
  <c r="F44" i="82"/>
  <c r="C43" i="82"/>
  <c r="D41" i="82"/>
  <c r="F39" i="82"/>
  <c r="C38" i="82"/>
  <c r="E36" i="82"/>
  <c r="F34" i="82"/>
  <c r="C28" i="82"/>
  <c r="G24" i="82"/>
  <c r="E14" i="82"/>
  <c r="E44" i="82"/>
  <c r="G42" i="82"/>
  <c r="C41" i="82"/>
  <c r="E39" i="82"/>
  <c r="G37" i="82"/>
  <c r="D36" i="82"/>
  <c r="E34" i="82"/>
  <c r="G32" i="82"/>
  <c r="G30" i="82"/>
  <c r="C31" i="82"/>
  <c r="G27" i="82"/>
  <c r="D26" i="82"/>
  <c r="F24" i="82"/>
  <c r="C23" i="82"/>
  <c r="C21" i="82"/>
  <c r="E19" i="82"/>
  <c r="F17" i="82"/>
  <c r="G15" i="82"/>
  <c r="D14" i="82"/>
  <c r="E12" i="82"/>
  <c r="F10" i="82"/>
  <c r="C9" i="82"/>
  <c r="E7" i="82"/>
  <c r="E42" i="82"/>
  <c r="E37" i="82"/>
  <c r="C34" i="82"/>
  <c r="E30" i="82"/>
  <c r="E27" i="82"/>
  <c r="D24" i="82"/>
  <c r="F20" i="82"/>
  <c r="D17" i="82"/>
  <c r="E15" i="82"/>
  <c r="D12" i="82"/>
  <c r="F8" i="82"/>
  <c r="C35" i="82"/>
  <c r="E23" i="82"/>
  <c r="C13" i="82"/>
  <c r="C33" i="82"/>
  <c r="D23" i="82"/>
  <c r="C11" i="82"/>
  <c r="D44" i="82"/>
  <c r="F42" i="82"/>
  <c r="G40" i="82"/>
  <c r="D39" i="82"/>
  <c r="F37" i="82"/>
  <c r="C36" i="82"/>
  <c r="D34" i="82"/>
  <c r="F32" i="82"/>
  <c r="F30" i="82"/>
  <c r="C30" i="82"/>
  <c r="F27" i="82"/>
  <c r="C26" i="82"/>
  <c r="E24" i="82"/>
  <c r="F22" i="82"/>
  <c r="G20" i="82"/>
  <c r="D19" i="82"/>
  <c r="E17" i="82"/>
  <c r="F15" i="82"/>
  <c r="C14" i="82"/>
  <c r="C12" i="82"/>
  <c r="E10" i="82"/>
  <c r="G8" i="82"/>
  <c r="D7" i="82"/>
  <c r="C44" i="82"/>
  <c r="F40" i="82"/>
  <c r="C39" i="82"/>
  <c r="G35" i="82"/>
  <c r="E32" i="82"/>
  <c r="C29" i="82"/>
  <c r="E22" i="82"/>
  <c r="C19" i="82"/>
  <c r="G13" i="82"/>
  <c r="D10" i="82"/>
  <c r="C7" i="82"/>
  <c r="F36" i="82"/>
  <c r="C25" i="82"/>
  <c r="F14" i="82"/>
  <c r="D31" i="82"/>
  <c r="F19" i="82"/>
  <c r="D9" i="82"/>
  <c r="C18" i="82"/>
  <c r="G43" i="82"/>
  <c r="D42" i="82"/>
  <c r="E40" i="82"/>
  <c r="G38" i="82"/>
  <c r="D37" i="82"/>
  <c r="F35" i="82"/>
  <c r="G33" i="82"/>
  <c r="D32" i="82"/>
  <c r="D30" i="82"/>
  <c r="G28" i="82"/>
  <c r="D27" i="82"/>
  <c r="F25" i="82"/>
  <c r="C24" i="82"/>
  <c r="D22" i="82"/>
  <c r="E20" i="82"/>
  <c r="G18" i="82"/>
  <c r="C17" i="82"/>
  <c r="D15" i="82"/>
  <c r="F13" i="82"/>
  <c r="G11" i="82"/>
  <c r="C10" i="82"/>
  <c r="E8" i="82"/>
  <c r="F41" i="82"/>
  <c r="D35" i="82"/>
  <c r="F29" i="82"/>
  <c r="G26" i="82"/>
  <c r="F23" i="82"/>
  <c r="C20" i="82"/>
  <c r="G14" i="82"/>
  <c r="E11" i="82"/>
  <c r="C8" i="82"/>
  <c r="D43" i="82"/>
  <c r="D38" i="82"/>
  <c r="E31" i="82"/>
  <c r="D28" i="82"/>
  <c r="E21" i="82"/>
  <c r="D16" i="82"/>
  <c r="E9" i="82"/>
  <c r="E26" i="82"/>
  <c r="C16" i="82"/>
  <c r="F7" i="82"/>
  <c r="F43" i="82"/>
  <c r="C42" i="82"/>
  <c r="D40" i="82"/>
  <c r="F38" i="82"/>
  <c r="C37" i="82"/>
  <c r="E35" i="82"/>
  <c r="F33" i="82"/>
  <c r="C32" i="82"/>
  <c r="G29" i="82"/>
  <c r="F28" i="82"/>
  <c r="C27" i="82"/>
  <c r="E25" i="82"/>
  <c r="G23" i="82"/>
  <c r="C22" i="82"/>
  <c r="D20" i="82"/>
  <c r="F18" i="82"/>
  <c r="F16" i="82"/>
  <c r="C15" i="82"/>
  <c r="E13" i="82"/>
  <c r="F11" i="82"/>
  <c r="G9" i="82"/>
  <c r="D8" i="82"/>
  <c r="E43" i="82"/>
  <c r="C40" i="82"/>
  <c r="E38" i="82"/>
  <c r="G36" i="82"/>
  <c r="E33" i="82"/>
  <c r="F31" i="82"/>
  <c r="E28" i="82"/>
  <c r="D25" i="82"/>
  <c r="F21" i="82"/>
  <c r="E18" i="82"/>
  <c r="E16" i="82"/>
  <c r="D13" i="82"/>
  <c r="F9" i="82"/>
  <c r="E41" i="82"/>
  <c r="G39" i="82"/>
  <c r="D33" i="82"/>
  <c r="E29" i="82"/>
  <c r="F26" i="82"/>
  <c r="G19" i="82"/>
  <c r="D18" i="82"/>
  <c r="D11" i="82"/>
  <c r="G7" i="82"/>
  <c r="D29" i="82"/>
  <c r="D21" i="82"/>
  <c r="F12" i="82"/>
  <c r="G12" i="82"/>
  <c r="G10" i="82"/>
  <c r="G22" i="82"/>
  <c r="G44" i="82"/>
  <c r="G21" i="82"/>
  <c r="G59" i="82"/>
  <c r="G57" i="82"/>
  <c r="F59" i="82"/>
  <c r="E59" i="82"/>
  <c r="D59" i="82"/>
  <c r="C59" i="82"/>
  <c r="F58" i="82"/>
  <c r="E58" i="82"/>
  <c r="D58" i="82"/>
  <c r="C58" i="82"/>
  <c r="D56" i="82"/>
  <c r="F57" i="82"/>
  <c r="E57" i="82"/>
  <c r="D57" i="82"/>
  <c r="C55" i="82"/>
  <c r="F56" i="82"/>
  <c r="E56" i="82"/>
  <c r="F55" i="82"/>
  <c r="E55" i="82"/>
  <c r="D55" i="82"/>
  <c r="B39" i="85"/>
  <c r="B37" i="84"/>
  <c r="B38" i="85" s="1"/>
  <c r="B36" i="84"/>
  <c r="B37" i="85" s="1"/>
  <c r="B35" i="84"/>
  <c r="B36" i="85" s="1"/>
  <c r="B34" i="84"/>
  <c r="B35" i="85" s="1"/>
  <c r="B33" i="84"/>
  <c r="B32" i="85" s="1"/>
  <c r="B32" i="84"/>
  <c r="B31" i="85" s="1"/>
  <c r="B31" i="84"/>
  <c r="B30" i="85" s="1"/>
  <c r="B30" i="84"/>
  <c r="B28" i="85" s="1"/>
  <c r="B29" i="84"/>
  <c r="B26" i="85" s="1"/>
  <c r="B28" i="84"/>
  <c r="B27" i="85" s="1"/>
  <c r="B27" i="84"/>
  <c r="B25" i="85" s="1"/>
  <c r="B26" i="84"/>
  <c r="B24" i="85" s="1"/>
  <c r="B25" i="84"/>
  <c r="B22" i="85" s="1"/>
  <c r="B24" i="84"/>
  <c r="B20" i="85" s="1"/>
  <c r="B23" i="84"/>
  <c r="B21" i="85" s="1"/>
  <c r="B22" i="84"/>
  <c r="B19" i="85" s="1"/>
  <c r="B21" i="84"/>
  <c r="B18" i="85" s="1"/>
  <c r="B20" i="84"/>
  <c r="B59" i="85" s="1"/>
  <c r="B19" i="84"/>
  <c r="B58" i="85" s="1"/>
  <c r="B18" i="84"/>
  <c r="B57" i="85" s="1"/>
  <c r="B17" i="84"/>
  <c r="B56" i="85" s="1"/>
  <c r="B16" i="84"/>
  <c r="B55" i="85" s="1"/>
  <c r="B54" i="85"/>
  <c r="B12" i="84"/>
  <c r="B11" i="84"/>
  <c r="B10" i="84"/>
  <c r="B9" i="84"/>
  <c r="A9" i="84" s="1"/>
  <c r="B8" i="84"/>
  <c r="A8" i="84" s="1"/>
  <c r="A12" i="84" l="1"/>
  <c r="K7" i="85"/>
  <c r="A10" i="84"/>
  <c r="A11" i="84"/>
  <c r="A39" i="84"/>
  <c r="A38" i="84"/>
  <c r="A37" i="84"/>
  <c r="A36" i="84"/>
  <c r="A35" i="84"/>
  <c r="A34" i="84"/>
  <c r="A33" i="84"/>
  <c r="A32" i="84"/>
  <c r="A31" i="84"/>
  <c r="A30" i="84"/>
  <c r="A29" i="84"/>
  <c r="A28" i="84"/>
  <c r="A27" i="84"/>
  <c r="A26" i="84"/>
  <c r="A25" i="84"/>
  <c r="A24" i="84"/>
  <c r="A23" i="84"/>
  <c r="A22" i="84"/>
  <c r="A21" i="84"/>
  <c r="A20" i="84"/>
  <c r="A19" i="84"/>
  <c r="A18" i="84"/>
  <c r="A17" i="84"/>
  <c r="A16" i="84"/>
  <c r="A15" i="84"/>
  <c r="C3" i="84"/>
  <c r="D9" i="83"/>
  <c r="D8" i="83"/>
  <c r="D7" i="83"/>
  <c r="D6" i="83"/>
  <c r="D5" i="83"/>
  <c r="G7" i="84" l="1"/>
  <c r="D3" i="84"/>
  <c r="C4" i="84"/>
  <c r="F7" i="84" l="1"/>
  <c r="G6" i="84"/>
  <c r="AA53" i="76"/>
  <c r="Y53" i="76"/>
  <c r="X53" i="76"/>
  <c r="F6" i="84" l="1"/>
  <c r="E7" i="84"/>
  <c r="Z53" i="76"/>
  <c r="AB53" i="76"/>
  <c r="R53" i="63"/>
  <c r="E6" i="84" l="1"/>
  <c r="D7" i="84"/>
  <c r="AW53" i="68"/>
  <c r="D6" i="84" l="1"/>
  <c r="C7" i="84"/>
  <c r="C6" i="84" s="1"/>
  <c r="C8" i="84" s="1"/>
  <c r="A1" i="59"/>
  <c r="J88" i="59" l="1"/>
  <c r="J87" i="59"/>
  <c r="B87" i="59"/>
  <c r="D86" i="59"/>
  <c r="F85" i="59"/>
  <c r="H84" i="59"/>
  <c r="J83" i="59"/>
  <c r="B83" i="59"/>
  <c r="D82" i="59"/>
  <c r="F81" i="59"/>
  <c r="H80" i="59"/>
  <c r="J79" i="59"/>
  <c r="E79" i="59"/>
  <c r="B79" i="59"/>
  <c r="I87" i="59"/>
  <c r="I86" i="59"/>
  <c r="I85" i="59"/>
  <c r="I84" i="59"/>
  <c r="I83" i="59"/>
  <c r="I82" i="59"/>
  <c r="I81" i="59"/>
  <c r="I80" i="59"/>
  <c r="K74" i="59"/>
  <c r="J70" i="59"/>
  <c r="F74" i="59"/>
  <c r="B74" i="59"/>
  <c r="F71" i="59"/>
  <c r="F70" i="59"/>
  <c r="C64" i="59"/>
  <c r="C62" i="59"/>
  <c r="F61" i="59"/>
  <c r="E62" i="59"/>
  <c r="I62" i="59"/>
  <c r="E63" i="59"/>
  <c r="I63" i="59"/>
  <c r="E64" i="59"/>
  <c r="I64" i="59"/>
  <c r="J56" i="59"/>
  <c r="H55" i="59"/>
  <c r="E56" i="59"/>
  <c r="B56" i="59"/>
  <c r="F49" i="59"/>
  <c r="B48" i="59"/>
  <c r="J44" i="59"/>
  <c r="G45" i="59"/>
  <c r="C45" i="59"/>
  <c r="G44" i="59"/>
  <c r="C44" i="59"/>
  <c r="D43" i="59"/>
  <c r="D42" i="59"/>
  <c r="H40" i="59"/>
  <c r="K33" i="59"/>
  <c r="H35" i="59"/>
  <c r="I32" i="59"/>
  <c r="H30" i="59"/>
  <c r="G33" i="59"/>
  <c r="G31" i="59"/>
  <c r="D35" i="59"/>
  <c r="E32" i="59"/>
  <c r="D30" i="59"/>
  <c r="C33" i="59"/>
  <c r="C31" i="59"/>
  <c r="J27" i="59"/>
  <c r="J24" i="59"/>
  <c r="I25" i="59"/>
  <c r="F27" i="59"/>
  <c r="F24" i="59"/>
  <c r="E25" i="59"/>
  <c r="B27" i="59"/>
  <c r="B24" i="59"/>
  <c r="F88" i="59"/>
  <c r="H86" i="59"/>
  <c r="J85" i="59"/>
  <c r="B85" i="59"/>
  <c r="D84" i="59"/>
  <c r="H82" i="59"/>
  <c r="B81" i="59"/>
  <c r="F79" i="59"/>
  <c r="I88" i="59"/>
  <c r="H88" i="59"/>
  <c r="H87" i="59"/>
  <c r="J86" i="59"/>
  <c r="B86" i="59"/>
  <c r="D85" i="59"/>
  <c r="F84" i="59"/>
  <c r="H83" i="59"/>
  <c r="J82" i="59"/>
  <c r="B82" i="59"/>
  <c r="D81" i="59"/>
  <c r="F80" i="59"/>
  <c r="H79" i="59"/>
  <c r="G79" i="59"/>
  <c r="K88" i="59"/>
  <c r="G87" i="59"/>
  <c r="G86" i="59"/>
  <c r="G85" i="59"/>
  <c r="G84" i="59"/>
  <c r="G83" i="59"/>
  <c r="G82" i="59"/>
  <c r="G81" i="59"/>
  <c r="G80" i="59"/>
  <c r="J74" i="59"/>
  <c r="I74" i="59"/>
  <c r="E74" i="59"/>
  <c r="I71" i="59"/>
  <c r="E71" i="59"/>
  <c r="D70" i="59"/>
  <c r="B64" i="59"/>
  <c r="B62" i="59"/>
  <c r="H61" i="59"/>
  <c r="F62" i="59"/>
  <c r="J62" i="59"/>
  <c r="F63" i="59"/>
  <c r="J63" i="59"/>
  <c r="F64" i="59"/>
  <c r="J64" i="59"/>
  <c r="J55" i="59"/>
  <c r="G56" i="59"/>
  <c r="D56" i="59"/>
  <c r="B55" i="59"/>
  <c r="F48" i="59"/>
  <c r="K45" i="59"/>
  <c r="J43" i="59"/>
  <c r="F45" i="59"/>
  <c r="B45" i="59"/>
  <c r="F44" i="59"/>
  <c r="B44" i="59"/>
  <c r="B43" i="59"/>
  <c r="B42" i="59"/>
  <c r="D40" i="59"/>
  <c r="J33" i="59"/>
  <c r="J31" i="59"/>
  <c r="H34" i="59"/>
  <c r="H32" i="59"/>
  <c r="G35" i="59"/>
  <c r="F33" i="59"/>
  <c r="F31" i="59"/>
  <c r="D34" i="59"/>
  <c r="D32" i="59"/>
  <c r="C35" i="59"/>
  <c r="B33" i="59"/>
  <c r="B31" i="59"/>
  <c r="J26" i="59"/>
  <c r="I27" i="59"/>
  <c r="H25" i="59"/>
  <c r="F26" i="59"/>
  <c r="E27" i="59"/>
  <c r="D25" i="59"/>
  <c r="B26" i="59"/>
  <c r="F87" i="59"/>
  <c r="F83" i="59"/>
  <c r="J81" i="59"/>
  <c r="D80" i="59"/>
  <c r="I79" i="59"/>
  <c r="E87" i="59"/>
  <c r="G88" i="59"/>
  <c r="J84" i="59"/>
  <c r="H81" i="59"/>
  <c r="K79" i="59"/>
  <c r="K85" i="59"/>
  <c r="K83" i="59"/>
  <c r="K81" i="59"/>
  <c r="J71" i="59"/>
  <c r="C74" i="59"/>
  <c r="H70" i="59"/>
  <c r="D61" i="59"/>
  <c r="H62" i="59"/>
  <c r="H63" i="59"/>
  <c r="H64" i="59"/>
  <c r="H56" i="59"/>
  <c r="C56" i="59"/>
  <c r="G49" i="59"/>
  <c r="K44" i="59"/>
  <c r="D45" i="59"/>
  <c r="D44" i="59"/>
  <c r="F42" i="59"/>
  <c r="F40" i="59"/>
  <c r="J34" i="59"/>
  <c r="I35" i="59"/>
  <c r="H31" i="59"/>
  <c r="F32" i="59"/>
  <c r="D33" i="59"/>
  <c r="B34" i="59"/>
  <c r="H26" i="59"/>
  <c r="F25" i="59"/>
  <c r="C27" i="59"/>
  <c r="D83" i="59"/>
  <c r="B80" i="59"/>
  <c r="K84" i="59"/>
  <c r="K80" i="59"/>
  <c r="G71" i="59"/>
  <c r="D62" i="59"/>
  <c r="D64" i="59"/>
  <c r="F55" i="59"/>
  <c r="B49" i="59"/>
  <c r="H45" i="59"/>
  <c r="H44" i="59"/>
  <c r="F43" i="59"/>
  <c r="J40" i="59"/>
  <c r="H33" i="59"/>
  <c r="E35" i="59"/>
  <c r="B32" i="59"/>
  <c r="G27" i="59"/>
  <c r="B25" i="59"/>
  <c r="F82" i="59"/>
  <c r="E86" i="59"/>
  <c r="E82" i="59"/>
  <c r="E80" i="59"/>
  <c r="D74" i="59"/>
  <c r="G62" i="59"/>
  <c r="G64" i="59"/>
  <c r="D55" i="59"/>
  <c r="J45" i="59"/>
  <c r="E44" i="59"/>
  <c r="B40" i="59"/>
  <c r="J30" i="59"/>
  <c r="G32" i="59"/>
  <c r="B35" i="59"/>
  <c r="H27" i="59"/>
  <c r="D24" i="59"/>
  <c r="D87" i="59"/>
  <c r="B84" i="59"/>
  <c r="J80" i="59"/>
  <c r="K87" i="59"/>
  <c r="E85" i="59"/>
  <c r="E83" i="59"/>
  <c r="E81" i="59"/>
  <c r="H74" i="59"/>
  <c r="H71" i="59"/>
  <c r="B70" i="59"/>
  <c r="C63" i="59"/>
  <c r="J61" i="59"/>
  <c r="K64" i="59"/>
  <c r="F56" i="59"/>
  <c r="C49" i="59"/>
  <c r="I45" i="59"/>
  <c r="I44" i="59"/>
  <c r="H43" i="59"/>
  <c r="J42" i="59"/>
  <c r="K32" i="59"/>
  <c r="I33" i="59"/>
  <c r="F35" i="59"/>
  <c r="F30" i="59"/>
  <c r="E31" i="59"/>
  <c r="C32" i="59"/>
  <c r="K25" i="59"/>
  <c r="H24" i="59"/>
  <c r="D27" i="59"/>
  <c r="C25" i="59"/>
  <c r="F86" i="59"/>
  <c r="K86" i="59"/>
  <c r="K82" i="59"/>
  <c r="G74" i="59"/>
  <c r="B63" i="59"/>
  <c r="D63" i="59"/>
  <c r="K56" i="59"/>
  <c r="J32" i="59"/>
  <c r="F34" i="59"/>
  <c r="D31" i="59"/>
  <c r="J25" i="59"/>
  <c r="D26" i="59"/>
  <c r="H85" i="59"/>
  <c r="D79" i="59"/>
  <c r="E84" i="59"/>
  <c r="K71" i="59"/>
  <c r="D71" i="59"/>
  <c r="B61" i="59"/>
  <c r="G63" i="59"/>
  <c r="I56" i="59"/>
  <c r="E45" i="59"/>
  <c r="H42" i="59"/>
  <c r="J35" i="59"/>
  <c r="I31" i="59"/>
  <c r="E33" i="59"/>
  <c r="B30" i="59"/>
  <c r="G25" i="59"/>
  <c r="G18" i="59"/>
  <c r="D17" i="59"/>
  <c r="J12" i="59"/>
  <c r="G13" i="59"/>
  <c r="C14" i="59"/>
  <c r="J8" i="59"/>
  <c r="F9" i="59"/>
  <c r="D7" i="59"/>
  <c r="I9" i="59"/>
  <c r="B17" i="59"/>
  <c r="E14" i="59"/>
  <c r="C8" i="59"/>
  <c r="E13" i="59"/>
  <c r="B7" i="59"/>
  <c r="D12" i="59"/>
  <c r="A2" i="59"/>
  <c r="C18" i="59"/>
  <c r="I14" i="59"/>
  <c r="F13" i="59"/>
  <c r="B14" i="59"/>
  <c r="J7" i="59"/>
  <c r="G8" i="59"/>
  <c r="C9" i="59"/>
  <c r="C13" i="59"/>
  <c r="B9" i="59"/>
  <c r="I13" i="59"/>
  <c r="F7" i="59"/>
  <c r="H8" i="59"/>
  <c r="J13" i="59"/>
  <c r="F18" i="59"/>
  <c r="B18" i="59"/>
  <c r="H14" i="59"/>
  <c r="F12" i="59"/>
  <c r="F8" i="59"/>
  <c r="B13" i="59"/>
  <c r="H12" i="59"/>
  <c r="D9" i="59"/>
  <c r="E18" i="59"/>
  <c r="H9" i="59"/>
  <c r="H18" i="59"/>
  <c r="D18" i="59"/>
  <c r="K14" i="59"/>
  <c r="H13" i="59"/>
  <c r="D14" i="59"/>
  <c r="B12" i="59"/>
  <c r="I8" i="59"/>
  <c r="E9" i="59"/>
  <c r="B8" i="59"/>
  <c r="J18" i="59"/>
  <c r="J17" i="59"/>
  <c r="J14" i="59"/>
  <c r="F17" i="59"/>
  <c r="F14" i="59"/>
  <c r="I18" i="59"/>
  <c r="H17" i="59"/>
  <c r="K13" i="59"/>
  <c r="G14" i="59"/>
  <c r="D13" i="59"/>
  <c r="J9" i="59"/>
  <c r="H7" i="59"/>
  <c r="E8" i="59"/>
  <c r="D8" i="59"/>
  <c r="J49" i="59"/>
  <c r="D48" i="59"/>
  <c r="H49" i="59"/>
  <c r="E49" i="59"/>
  <c r="K49" i="59"/>
  <c r="D49" i="59"/>
  <c r="J48" i="59"/>
  <c r="I49" i="59"/>
  <c r="H48" i="59"/>
  <c r="C86" i="59"/>
  <c r="C82" i="59"/>
  <c r="C84" i="59"/>
  <c r="C85" i="59"/>
  <c r="C81" i="59"/>
  <c r="C79" i="59"/>
  <c r="C80" i="59"/>
  <c r="C87" i="59"/>
  <c r="C83" i="59"/>
  <c r="P9" i="71"/>
  <c r="P10" i="71"/>
  <c r="P11" i="71"/>
  <c r="P13" i="71"/>
  <c r="P14" i="71"/>
  <c r="P15" i="71"/>
  <c r="P17" i="71"/>
  <c r="P44" i="71"/>
  <c r="P18" i="71"/>
  <c r="P21" i="71"/>
  <c r="P22" i="71"/>
  <c r="P23" i="71"/>
  <c r="P26" i="71"/>
  <c r="P27" i="71"/>
  <c r="P28" i="71"/>
  <c r="P29" i="71"/>
  <c r="P30" i="71"/>
  <c r="P31" i="71"/>
  <c r="P32" i="71"/>
  <c r="P33" i="71"/>
  <c r="P34" i="71"/>
  <c r="P35" i="71"/>
  <c r="P36" i="71"/>
  <c r="P38" i="71"/>
  <c r="P40" i="71"/>
  <c r="P41" i="71"/>
  <c r="P42" i="71"/>
  <c r="P43" i="71"/>
  <c r="P47" i="71"/>
  <c r="P50" i="71"/>
  <c r="P51" i="71"/>
  <c r="P39" i="71"/>
  <c r="P6" i="71"/>
  <c r="O53" i="71"/>
  <c r="N53" i="71"/>
  <c r="BC7" i="68"/>
  <c r="BC9" i="68"/>
  <c r="BC10" i="68"/>
  <c r="BC11" i="68"/>
  <c r="BC12" i="68"/>
  <c r="BC13" i="68"/>
  <c r="BC14" i="68"/>
  <c r="BC15" i="68"/>
  <c r="BC16" i="68"/>
  <c r="BC44" i="68"/>
  <c r="BC18" i="68"/>
  <c r="BC19" i="68"/>
  <c r="BC21" i="68"/>
  <c r="BC23" i="68"/>
  <c r="K35" i="59" s="1"/>
  <c r="BC25" i="68"/>
  <c r="BC26" i="68"/>
  <c r="BC27" i="68"/>
  <c r="BC28" i="68"/>
  <c r="BC29" i="68"/>
  <c r="BC30" i="68"/>
  <c r="BC31" i="68"/>
  <c r="BC32" i="68"/>
  <c r="BC33" i="68"/>
  <c r="BC34" i="68"/>
  <c r="BC35" i="68"/>
  <c r="BC36" i="68"/>
  <c r="BC37" i="68"/>
  <c r="BC40" i="68"/>
  <c r="BC41" i="68"/>
  <c r="BC42" i="68"/>
  <c r="BC43" i="68"/>
  <c r="BC48" i="68"/>
  <c r="BC47" i="68"/>
  <c r="BC49" i="68"/>
  <c r="BC50" i="68"/>
  <c r="BC51" i="68"/>
  <c r="BC39" i="68"/>
  <c r="BC6" i="68"/>
  <c r="BB53" i="68"/>
  <c r="BA53" i="68"/>
  <c r="AM53" i="70"/>
  <c r="AN53" i="70"/>
  <c r="AL7" i="70"/>
  <c r="AL9" i="70"/>
  <c r="AL10" i="70"/>
  <c r="AL11" i="70"/>
  <c r="AL14" i="70"/>
  <c r="AL17" i="70"/>
  <c r="AL18" i="70"/>
  <c r="AL22" i="70"/>
  <c r="AL23" i="70"/>
  <c r="AL25" i="70"/>
  <c r="AL26" i="70"/>
  <c r="AL27" i="70"/>
  <c r="AL28" i="70"/>
  <c r="AL29" i="70"/>
  <c r="AL30" i="70"/>
  <c r="AL31" i="70"/>
  <c r="AL32" i="70"/>
  <c r="AL33" i="70"/>
  <c r="AL34" i="70"/>
  <c r="AL35" i="70"/>
  <c r="AL36" i="70"/>
  <c r="AL38" i="70"/>
  <c r="AL41" i="70"/>
  <c r="AL51" i="70"/>
  <c r="AL39" i="70"/>
  <c r="AK53" i="70"/>
  <c r="AJ7" i="70"/>
  <c r="AJ9" i="70"/>
  <c r="AJ10" i="70"/>
  <c r="AJ11" i="70"/>
  <c r="AJ14" i="70"/>
  <c r="AJ17" i="70"/>
  <c r="AJ18" i="70"/>
  <c r="AJ21" i="70"/>
  <c r="AJ22" i="70"/>
  <c r="AJ23" i="70"/>
  <c r="AJ25" i="70"/>
  <c r="AJ26" i="70"/>
  <c r="AJ27" i="70"/>
  <c r="AJ28" i="70"/>
  <c r="AJ29" i="70"/>
  <c r="AJ30" i="70"/>
  <c r="AJ31" i="70"/>
  <c r="AJ32" i="70"/>
  <c r="AJ33" i="70"/>
  <c r="AJ34" i="70"/>
  <c r="AJ35" i="70"/>
  <c r="AJ36" i="70"/>
  <c r="AJ38" i="70"/>
  <c r="AJ51" i="70"/>
  <c r="AJ39" i="70"/>
  <c r="AJ6" i="70"/>
  <c r="AI53" i="70"/>
  <c r="T53" i="69"/>
  <c r="S53" i="69"/>
  <c r="AX53" i="68"/>
  <c r="AY53" i="68"/>
  <c r="AZ53" i="68"/>
  <c r="AV7" i="68"/>
  <c r="AV9" i="68"/>
  <c r="AV10" i="68"/>
  <c r="AV11" i="68"/>
  <c r="AV13" i="68"/>
  <c r="AV14" i="68"/>
  <c r="AV15" i="68"/>
  <c r="AV16" i="68"/>
  <c r="AV44" i="68"/>
  <c r="AV18" i="68"/>
  <c r="AV19" i="68"/>
  <c r="AV21" i="68"/>
  <c r="AV23" i="68"/>
  <c r="K31" i="59" s="1"/>
  <c r="AV25" i="68"/>
  <c r="AV26" i="68"/>
  <c r="AV27" i="68"/>
  <c r="AV28" i="68"/>
  <c r="AV29" i="68"/>
  <c r="AV30" i="68"/>
  <c r="AV31" i="68"/>
  <c r="AV32" i="68"/>
  <c r="AV33" i="68"/>
  <c r="AV34" i="68"/>
  <c r="AV35" i="68"/>
  <c r="AV36" i="68"/>
  <c r="AV37" i="68"/>
  <c r="AV40" i="68"/>
  <c r="AV41" i="68"/>
  <c r="AV42" i="68"/>
  <c r="AV43" i="68"/>
  <c r="AV48" i="68"/>
  <c r="AV47" i="68"/>
  <c r="AV49" i="68"/>
  <c r="AV50" i="68"/>
  <c r="AV51" i="68"/>
  <c r="AV39" i="68"/>
  <c r="AV6" i="68"/>
  <c r="AU53" i="68"/>
  <c r="AT53" i="68"/>
  <c r="AH53" i="67"/>
  <c r="AG53" i="67"/>
  <c r="AF53" i="67"/>
  <c r="AE53" i="67"/>
  <c r="AD53" i="67"/>
  <c r="AI39" i="67"/>
  <c r="AI51" i="67"/>
  <c r="AI50" i="67"/>
  <c r="AI49" i="67"/>
  <c r="AI47" i="67"/>
  <c r="AI48" i="67"/>
  <c r="AI46" i="67"/>
  <c r="AI45" i="67"/>
  <c r="AI43" i="67"/>
  <c r="AI42" i="67"/>
  <c r="AI41" i="67"/>
  <c r="AI40" i="67"/>
  <c r="AI38" i="67"/>
  <c r="AI37" i="67"/>
  <c r="AI36" i="67"/>
  <c r="AI35" i="67"/>
  <c r="AI34" i="67"/>
  <c r="AI33" i="67"/>
  <c r="AI32" i="67"/>
  <c r="AI31" i="67"/>
  <c r="AI30" i="67"/>
  <c r="AI29" i="67"/>
  <c r="AI28" i="67"/>
  <c r="AI27" i="67"/>
  <c r="AI26" i="67"/>
  <c r="AI25" i="67"/>
  <c r="AI23" i="67"/>
  <c r="K27" i="59" s="1"/>
  <c r="AI22" i="67"/>
  <c r="AI21" i="67"/>
  <c r="AI20" i="67"/>
  <c r="AI19" i="67"/>
  <c r="AI18" i="67"/>
  <c r="AI44" i="67"/>
  <c r="AI17" i="67"/>
  <c r="AI16" i="67"/>
  <c r="AI15" i="67"/>
  <c r="AI14" i="67"/>
  <c r="AI13" i="67"/>
  <c r="AI12" i="67"/>
  <c r="AI11" i="67"/>
  <c r="AI10" i="67"/>
  <c r="AI9" i="67"/>
  <c r="G31" i="82" s="1"/>
  <c r="AI7" i="67"/>
  <c r="AI6" i="67"/>
  <c r="AC53" i="66"/>
  <c r="Z53" i="66"/>
  <c r="AB53" i="66" s="1"/>
  <c r="AD7" i="65"/>
  <c r="AD9" i="65"/>
  <c r="AD10" i="65"/>
  <c r="AD11" i="65"/>
  <c r="AD12" i="65"/>
  <c r="AD13" i="65"/>
  <c r="AD14" i="65"/>
  <c r="AD15" i="65"/>
  <c r="AD16" i="65"/>
  <c r="AD17" i="65"/>
  <c r="AD44" i="65"/>
  <c r="AD18" i="65"/>
  <c r="AD19" i="65"/>
  <c r="AD20" i="65"/>
  <c r="AD21" i="65"/>
  <c r="AD22" i="65"/>
  <c r="AD23" i="65"/>
  <c r="AD24" i="65"/>
  <c r="AD25" i="65"/>
  <c r="AD26" i="65"/>
  <c r="AD27" i="65"/>
  <c r="AD28" i="65"/>
  <c r="AD29" i="65"/>
  <c r="AD30" i="65"/>
  <c r="AD31" i="65"/>
  <c r="AD32" i="65"/>
  <c r="AD33" i="65"/>
  <c r="AD34" i="65"/>
  <c r="AD35" i="65"/>
  <c r="AD36" i="65"/>
  <c r="AD37" i="65"/>
  <c r="AD38" i="65"/>
  <c r="AD8" i="65"/>
  <c r="AD40" i="65"/>
  <c r="AD41" i="65"/>
  <c r="AD42" i="65"/>
  <c r="AD43" i="65"/>
  <c r="AD45" i="65"/>
  <c r="AD46" i="65"/>
  <c r="AD48" i="65"/>
  <c r="AD47" i="65"/>
  <c r="AD49" i="65"/>
  <c r="AD50" i="65"/>
  <c r="AD51" i="65"/>
  <c r="AD39" i="65"/>
  <c r="AD6" i="65"/>
  <c r="AB23" i="65"/>
  <c r="AB24" i="65"/>
  <c r="AB25" i="65"/>
  <c r="AB26" i="65"/>
  <c r="AB27" i="65"/>
  <c r="AB28" i="65"/>
  <c r="AB29" i="65"/>
  <c r="AB30" i="65"/>
  <c r="AB31" i="65"/>
  <c r="AB32" i="65"/>
  <c r="AB33" i="65"/>
  <c r="AB34" i="65"/>
  <c r="AB35" i="65"/>
  <c r="AB36" i="65"/>
  <c r="AB37" i="65"/>
  <c r="AB38" i="65"/>
  <c r="AB8" i="65"/>
  <c r="AB40" i="65"/>
  <c r="AB41" i="65"/>
  <c r="AB42" i="65"/>
  <c r="AB43" i="65"/>
  <c r="AB45" i="65"/>
  <c r="AB46" i="65"/>
  <c r="AB48" i="65"/>
  <c r="AB47" i="65"/>
  <c r="AB49" i="65"/>
  <c r="AB50" i="65"/>
  <c r="AB51" i="65"/>
  <c r="AB39" i="65"/>
  <c r="AB6" i="65"/>
  <c r="AB7" i="65"/>
  <c r="AB9" i="65"/>
  <c r="AB10" i="65"/>
  <c r="AB11" i="65"/>
  <c r="AB12" i="65"/>
  <c r="AB13" i="65"/>
  <c r="AB14" i="65"/>
  <c r="AB15" i="65"/>
  <c r="AB16" i="65"/>
  <c r="AB17" i="65"/>
  <c r="AB44" i="65"/>
  <c r="AB18" i="65"/>
  <c r="AB19" i="65"/>
  <c r="AB20" i="65"/>
  <c r="AB21" i="65"/>
  <c r="AB22" i="65"/>
  <c r="AC53" i="65"/>
  <c r="AA53" i="65"/>
  <c r="Z53" i="65"/>
  <c r="G25" i="82" l="1"/>
  <c r="K63" i="59"/>
  <c r="K62" i="59"/>
  <c r="G52" i="82"/>
  <c r="K8" i="59"/>
  <c r="G9" i="59"/>
  <c r="G16" i="82"/>
  <c r="K9" i="59"/>
  <c r="K18" i="59"/>
  <c r="G50" i="82"/>
  <c r="G41" i="82"/>
  <c r="G34" i="82"/>
  <c r="G17" i="82"/>
  <c r="AB53" i="65"/>
  <c r="AI53" i="67"/>
  <c r="AJ53" i="70"/>
  <c r="AL53" i="70"/>
  <c r="AD53" i="66"/>
  <c r="BC53" i="68"/>
  <c r="AV53" i="68"/>
  <c r="AD53" i="65"/>
  <c r="P53" i="71"/>
  <c r="S53" i="63"/>
  <c r="T53" i="63" s="1"/>
  <c r="T6" i="63"/>
  <c r="D4" i="84" l="1"/>
  <c r="D69" i="84" l="1"/>
  <c r="D66" i="84"/>
  <c r="D72" i="84"/>
  <c r="D68" i="84"/>
  <c r="D73" i="84"/>
  <c r="D70" i="84"/>
  <c r="D67" i="84"/>
  <c r="C66" i="84"/>
  <c r="C72" i="84"/>
  <c r="C68" i="84"/>
  <c r="C70" i="84"/>
  <c r="C67" i="84"/>
  <c r="C69" i="84"/>
  <c r="C73" i="84"/>
  <c r="E73" i="84"/>
  <c r="E69" i="84"/>
  <c r="E66" i="84"/>
  <c r="E72" i="84"/>
  <c r="E68" i="84"/>
  <c r="E70" i="84"/>
  <c r="E67" i="84"/>
  <c r="G70" i="84"/>
  <c r="G67" i="84"/>
  <c r="G73" i="84"/>
  <c r="G69" i="84"/>
  <c r="G66" i="84"/>
  <c r="G72" i="84"/>
  <c r="G68" i="84"/>
  <c r="D61" i="85" s="1"/>
  <c r="F67" i="84"/>
  <c r="F73" i="84"/>
  <c r="F69" i="84"/>
  <c r="F66" i="84"/>
  <c r="F72" i="84"/>
  <c r="F70" i="84"/>
  <c r="F68" i="84"/>
  <c r="E61" i="85" s="1"/>
  <c r="D15" i="84"/>
  <c r="D43" i="84"/>
  <c r="D51" i="84"/>
  <c r="D59" i="84"/>
  <c r="D40" i="84"/>
  <c r="D48" i="84"/>
  <c r="D56" i="84"/>
  <c r="D64" i="84"/>
  <c r="D46" i="84"/>
  <c r="D54" i="84"/>
  <c r="D45" i="84"/>
  <c r="D53" i="84"/>
  <c r="D61" i="84"/>
  <c r="D42" i="84"/>
  <c r="D50" i="84"/>
  <c r="D58" i="84"/>
  <c r="D71" i="84"/>
  <c r="D44" i="84"/>
  <c r="D60" i="84"/>
  <c r="D47" i="84"/>
  <c r="D55" i="84"/>
  <c r="D63" i="84"/>
  <c r="D62" i="84"/>
  <c r="D52" i="84"/>
  <c r="D41" i="84"/>
  <c r="D49" i="84"/>
  <c r="D57" i="84"/>
  <c r="D65" i="84"/>
  <c r="C15" i="84"/>
  <c r="C40" i="84"/>
  <c r="C48" i="84"/>
  <c r="C56" i="84"/>
  <c r="C64" i="84"/>
  <c r="C45" i="84"/>
  <c r="C53" i="84"/>
  <c r="C61" i="84"/>
  <c r="C49" i="84"/>
  <c r="C42" i="84"/>
  <c r="C50" i="84"/>
  <c r="C58" i="84"/>
  <c r="C71" i="84"/>
  <c r="C65" i="84"/>
  <c r="C51" i="84"/>
  <c r="C59" i="84"/>
  <c r="C47" i="84"/>
  <c r="C55" i="84"/>
  <c r="C63" i="84"/>
  <c r="C60" i="84"/>
  <c r="C57" i="84"/>
  <c r="C44" i="84"/>
  <c r="C52" i="84"/>
  <c r="C41" i="84"/>
  <c r="C46" i="84"/>
  <c r="C54" i="84"/>
  <c r="C62" i="84"/>
  <c r="C43" i="84"/>
  <c r="E15" i="84"/>
  <c r="E46" i="84"/>
  <c r="E54" i="84"/>
  <c r="E62" i="84"/>
  <c r="E43" i="84"/>
  <c r="E51" i="84"/>
  <c r="E59" i="84"/>
  <c r="E55" i="84"/>
  <c r="E63" i="84"/>
  <c r="E40" i="84"/>
  <c r="E48" i="84"/>
  <c r="E56" i="84"/>
  <c r="E64" i="84"/>
  <c r="E45" i="84"/>
  <c r="E53" i="84"/>
  <c r="E61" i="84"/>
  <c r="E65" i="84"/>
  <c r="E42" i="84"/>
  <c r="E50" i="84"/>
  <c r="E58" i="84"/>
  <c r="E71" i="84"/>
  <c r="E47" i="84"/>
  <c r="E49" i="84"/>
  <c r="E44" i="84"/>
  <c r="E52" i="84"/>
  <c r="E60" i="84"/>
  <c r="E41" i="84"/>
  <c r="E57" i="84"/>
  <c r="G15" i="84"/>
  <c r="G44" i="84"/>
  <c r="G52" i="84"/>
  <c r="G60" i="84"/>
  <c r="G41" i="84"/>
  <c r="G49" i="84"/>
  <c r="G57" i="84"/>
  <c r="G65" i="84"/>
  <c r="G45" i="84"/>
  <c r="G63" i="84"/>
  <c r="G46" i="84"/>
  <c r="G54" i="84"/>
  <c r="G62" i="84"/>
  <c r="G64" i="84"/>
  <c r="G53" i="84"/>
  <c r="G43" i="84"/>
  <c r="G51" i="84"/>
  <c r="G59" i="84"/>
  <c r="G55" i="84"/>
  <c r="G40" i="84"/>
  <c r="G48" i="84"/>
  <c r="G56" i="84"/>
  <c r="G61" i="84"/>
  <c r="G47" i="84"/>
  <c r="G42" i="84"/>
  <c r="G50" i="84"/>
  <c r="G58" i="84"/>
  <c r="G71" i="84"/>
  <c r="F15" i="84"/>
  <c r="F41" i="84"/>
  <c r="F49" i="84"/>
  <c r="F57" i="84"/>
  <c r="F65" i="84"/>
  <c r="F46" i="84"/>
  <c r="F54" i="84"/>
  <c r="F62" i="84"/>
  <c r="F61" i="84"/>
  <c r="F43" i="84"/>
  <c r="F51" i="84"/>
  <c r="F59" i="84"/>
  <c r="F42" i="84"/>
  <c r="F40" i="84"/>
  <c r="F48" i="84"/>
  <c r="F56" i="84"/>
  <c r="F64" i="84"/>
  <c r="F50" i="84"/>
  <c r="F44" i="84"/>
  <c r="F45" i="84"/>
  <c r="F53" i="84"/>
  <c r="F58" i="84"/>
  <c r="F71" i="84"/>
  <c r="F60" i="84"/>
  <c r="F47" i="84"/>
  <c r="F55" i="84"/>
  <c r="F63" i="84"/>
  <c r="F52" i="84"/>
  <c r="C29" i="84"/>
  <c r="C30" i="84"/>
  <c r="C31" i="84"/>
  <c r="C38" i="84"/>
  <c r="C39" i="84"/>
  <c r="C34" i="84"/>
  <c r="C35" i="84"/>
  <c r="C32" i="84"/>
  <c r="C37" i="84"/>
  <c r="C33" i="84"/>
  <c r="C36" i="84"/>
  <c r="D29" i="84"/>
  <c r="D31" i="84"/>
  <c r="D30" i="84"/>
  <c r="D37" i="84"/>
  <c r="D38" i="84"/>
  <c r="D39" i="84"/>
  <c r="D34" i="84"/>
  <c r="D32" i="84"/>
  <c r="D33" i="84"/>
  <c r="D35" i="84"/>
  <c r="D36" i="84"/>
  <c r="E29" i="84"/>
  <c r="E38" i="84"/>
  <c r="E36" i="84"/>
  <c r="E32" i="84"/>
  <c r="E35" i="84"/>
  <c r="E39" i="84"/>
  <c r="E34" i="84"/>
  <c r="E33" i="84"/>
  <c r="E37" i="84"/>
  <c r="E31" i="84"/>
  <c r="E30" i="84"/>
  <c r="G29" i="84"/>
  <c r="G38" i="84"/>
  <c r="G37" i="84"/>
  <c r="G33" i="84"/>
  <c r="G32" i="84"/>
  <c r="G30" i="84"/>
  <c r="G35" i="84"/>
  <c r="G39" i="84"/>
  <c r="G31" i="84"/>
  <c r="G36" i="84"/>
  <c r="G34" i="84"/>
  <c r="F29" i="84"/>
  <c r="F31" i="84"/>
  <c r="F33" i="84"/>
  <c r="F35" i="84"/>
  <c r="F36" i="84"/>
  <c r="F32" i="84"/>
  <c r="F38" i="84"/>
  <c r="F37" i="84"/>
  <c r="F34" i="84"/>
  <c r="F39" i="84"/>
  <c r="F30" i="84"/>
  <c r="G12" i="84"/>
  <c r="G9" i="84"/>
  <c r="G20" i="84"/>
  <c r="G10" i="84"/>
  <c r="G8" i="84"/>
  <c r="G11" i="84"/>
  <c r="G21" i="84"/>
  <c r="G17" i="84"/>
  <c r="G22" i="84"/>
  <c r="G16" i="84"/>
  <c r="G18" i="84"/>
  <c r="G19" i="84"/>
  <c r="G25" i="84"/>
  <c r="G24" i="84"/>
  <c r="G27" i="84"/>
  <c r="G26" i="84"/>
  <c r="G28" i="84"/>
  <c r="G23" i="84"/>
  <c r="C10" i="84"/>
  <c r="C27" i="84"/>
  <c r="C12" i="84"/>
  <c r="C9" i="84"/>
  <c r="C23" i="84"/>
  <c r="C11" i="84"/>
  <c r="C24" i="84"/>
  <c r="C28" i="84"/>
  <c r="C17" i="84"/>
  <c r="C18" i="84"/>
  <c r="C26" i="84"/>
  <c r="C25" i="84"/>
  <c r="C22" i="84"/>
  <c r="C16" i="84"/>
  <c r="C20" i="84"/>
  <c r="C21" i="84"/>
  <c r="C19" i="84"/>
  <c r="D8" i="84"/>
  <c r="D11" i="84"/>
  <c r="D10" i="84"/>
  <c r="D9" i="84"/>
  <c r="D12" i="84"/>
  <c r="D22" i="84"/>
  <c r="D24" i="84"/>
  <c r="D18" i="84"/>
  <c r="D19" i="84"/>
  <c r="D27" i="84"/>
  <c r="D23" i="84"/>
  <c r="D28" i="84"/>
  <c r="D21" i="84"/>
  <c r="D25" i="84"/>
  <c r="D20" i="84"/>
  <c r="D26" i="84"/>
  <c r="D16" i="84"/>
  <c r="D17" i="84"/>
  <c r="E11" i="84"/>
  <c r="E9" i="84"/>
  <c r="E10" i="84"/>
  <c r="E8" i="84"/>
  <c r="E17" i="84"/>
  <c r="E12" i="84"/>
  <c r="E19" i="84"/>
  <c r="E28" i="84"/>
  <c r="E16" i="84"/>
  <c r="E25" i="84"/>
  <c r="E24" i="84"/>
  <c r="E26" i="84"/>
  <c r="E22" i="84"/>
  <c r="E23" i="84"/>
  <c r="E18" i="84"/>
  <c r="E21" i="84"/>
  <c r="E27" i="84"/>
  <c r="E20" i="84"/>
  <c r="F10" i="84"/>
  <c r="F8" i="84"/>
  <c r="F9" i="84"/>
  <c r="F12" i="84"/>
  <c r="F11" i="84"/>
  <c r="F23" i="84"/>
  <c r="F16" i="84"/>
  <c r="F24" i="84"/>
  <c r="F25" i="84"/>
  <c r="F19" i="84"/>
  <c r="F17" i="84"/>
  <c r="F21" i="84"/>
  <c r="F27" i="84"/>
  <c r="F28" i="84"/>
  <c r="F18" i="84"/>
  <c r="F22" i="84"/>
  <c r="F26" i="84"/>
  <c r="F20" i="84"/>
  <c r="I6" i="84"/>
  <c r="H61" i="85" l="1"/>
  <c r="D21" i="85"/>
  <c r="E67" i="85"/>
  <c r="D44" i="85"/>
  <c r="D92" i="85"/>
  <c r="E24" i="85"/>
  <c r="E22" i="85"/>
  <c r="D27" i="85"/>
  <c r="D19" i="85"/>
  <c r="K8" i="85"/>
  <c r="E36" i="85"/>
  <c r="D36" i="85"/>
  <c r="E64" i="85"/>
  <c r="E47" i="85"/>
  <c r="E75" i="85"/>
  <c r="E73" i="85"/>
  <c r="D49" i="85"/>
  <c r="D45" i="85"/>
  <c r="D83" i="85"/>
  <c r="E89" i="85"/>
  <c r="D87" i="85"/>
  <c r="E83" i="85"/>
  <c r="D63" i="85"/>
  <c r="E19" i="85"/>
  <c r="E20" i="85"/>
  <c r="D24" i="85"/>
  <c r="D56" i="85"/>
  <c r="E28" i="85"/>
  <c r="E32" i="85"/>
  <c r="D28" i="85"/>
  <c r="E81" i="85"/>
  <c r="E46" i="85"/>
  <c r="E63" i="85"/>
  <c r="E51" i="85"/>
  <c r="D77" i="85"/>
  <c r="D67" i="85"/>
  <c r="D73" i="85"/>
  <c r="E92" i="85"/>
  <c r="D90" i="85"/>
  <c r="D55" i="85"/>
  <c r="E44" i="85"/>
  <c r="D47" i="85"/>
  <c r="E86" i="85"/>
  <c r="E57" i="85"/>
  <c r="E55" i="85"/>
  <c r="D25" i="85"/>
  <c r="D18" i="85"/>
  <c r="E30" i="85"/>
  <c r="D31" i="85"/>
  <c r="E69" i="85"/>
  <c r="E62" i="85"/>
  <c r="E45" i="85"/>
  <c r="E43" i="85"/>
  <c r="D72" i="85"/>
  <c r="D82" i="85"/>
  <c r="D51" i="85"/>
  <c r="E87" i="85"/>
  <c r="E58" i="85"/>
  <c r="E21" i="85"/>
  <c r="D20" i="85"/>
  <c r="H8" i="85"/>
  <c r="E26" i="85"/>
  <c r="E49" i="85"/>
  <c r="E82" i="85"/>
  <c r="E77" i="85"/>
  <c r="E54" i="85"/>
  <c r="D50" i="85"/>
  <c r="D78" i="85"/>
  <c r="D43" i="85"/>
  <c r="D88" i="85"/>
  <c r="D8" i="85"/>
  <c r="D54" i="85"/>
  <c r="E27" i="85"/>
  <c r="E35" i="85"/>
  <c r="D32" i="85"/>
  <c r="E25" i="85"/>
  <c r="D22" i="85"/>
  <c r="B8" i="85"/>
  <c r="E38" i="85"/>
  <c r="D35" i="85"/>
  <c r="D38" i="85"/>
  <c r="E76" i="85"/>
  <c r="E72" i="85"/>
  <c r="E78" i="85"/>
  <c r="D84" i="85"/>
  <c r="D42" i="85"/>
  <c r="D68" i="85"/>
  <c r="D76" i="85"/>
  <c r="E88" i="85"/>
  <c r="D91" i="85"/>
  <c r="E59" i="85"/>
  <c r="E37" i="85"/>
  <c r="E18" i="85"/>
  <c r="D58" i="85"/>
  <c r="F8" i="85"/>
  <c r="E39" i="85"/>
  <c r="D37" i="85"/>
  <c r="D39" i="85"/>
  <c r="E84" i="85"/>
  <c r="E50" i="85"/>
  <c r="E68" i="85"/>
  <c r="D74" i="85"/>
  <c r="D69" i="85"/>
  <c r="D48" i="85"/>
  <c r="D64" i="85"/>
  <c r="E90" i="85"/>
  <c r="D86" i="85"/>
  <c r="E56" i="85"/>
  <c r="D57" i="85"/>
  <c r="D59" i="85"/>
  <c r="E31" i="85"/>
  <c r="D30" i="85"/>
  <c r="D26" i="85"/>
  <c r="E74" i="85"/>
  <c r="E42" i="85"/>
  <c r="E48" i="85"/>
  <c r="D62" i="85"/>
  <c r="D75" i="85"/>
  <c r="D81" i="85"/>
  <c r="D46" i="85"/>
  <c r="E91" i="85"/>
  <c r="D89" i="85"/>
  <c r="E40" i="85"/>
  <c r="D40" i="85"/>
  <c r="H11" i="84"/>
  <c r="H9" i="84"/>
  <c r="H12" i="84"/>
  <c r="H10" i="84"/>
  <c r="H8" i="84"/>
  <c r="H26" i="85" l="1"/>
  <c r="H64" i="85"/>
  <c r="H59" i="85"/>
  <c r="H57" i="85"/>
  <c r="H51" i="85"/>
  <c r="H28" i="85"/>
  <c r="H44" i="85"/>
  <c r="H40" i="85"/>
  <c r="H76" i="85"/>
  <c r="H74" i="85"/>
  <c r="H87" i="85"/>
  <c r="H32" i="85"/>
  <c r="H83" i="85"/>
  <c r="H86" i="85"/>
  <c r="H30" i="85"/>
  <c r="H81" i="85"/>
  <c r="H46" i="85"/>
  <c r="H58" i="85"/>
  <c r="H47" i="85"/>
  <c r="H24" i="85"/>
  <c r="H62" i="85"/>
  <c r="H68" i="85"/>
  <c r="H18" i="85"/>
  <c r="H22" i="85"/>
  <c r="H77" i="85"/>
  <c r="H56" i="85"/>
  <c r="H50" i="85"/>
  <c r="H82" i="85"/>
  <c r="H67" i="85"/>
  <c r="H36" i="85"/>
  <c r="H75" i="85"/>
  <c r="H90" i="85"/>
  <c r="H43" i="85"/>
  <c r="H38" i="85"/>
  <c r="H63" i="85"/>
  <c r="H84" i="85"/>
  <c r="H78" i="85"/>
  <c r="H89" i="85"/>
  <c r="H39" i="85"/>
  <c r="H48" i="85"/>
  <c r="H37" i="85"/>
  <c r="H20" i="85"/>
  <c r="H19" i="85"/>
  <c r="H27" i="85"/>
  <c r="H45" i="85"/>
  <c r="H31" i="85"/>
  <c r="H55" i="85"/>
  <c r="H73" i="85"/>
  <c r="H49" i="85"/>
  <c r="H92" i="85"/>
  <c r="H91" i="85"/>
  <c r="H42" i="85"/>
  <c r="H35" i="85"/>
  <c r="H88" i="85"/>
  <c r="H54" i="85"/>
  <c r="H72" i="85"/>
  <c r="H69" i="85"/>
  <c r="H25" i="85"/>
  <c r="H21" i="85"/>
  <c r="K9" i="85"/>
  <c r="H9" i="85"/>
  <c r="D9" i="85"/>
  <c r="B9" i="85"/>
  <c r="F9" i="85"/>
  <c r="J15" i="85"/>
</calcChain>
</file>

<file path=xl/sharedStrings.xml><?xml version="1.0" encoding="utf-8"?>
<sst xmlns="http://schemas.openxmlformats.org/spreadsheetml/2006/main" count="4386" uniqueCount="417">
  <si>
    <t>College of Engineering</t>
  </si>
  <si>
    <t>College of Literature, Science &amp; Arts</t>
  </si>
  <si>
    <t>College of Pharmacy</t>
  </si>
  <si>
    <t>Executive Vice President for Academic Affairs</t>
  </si>
  <si>
    <t>Ford School of Public Policy</t>
  </si>
  <si>
    <t>Institute of Continuing Legal Education</t>
  </si>
  <si>
    <t>Institute for Social Research</t>
  </si>
  <si>
    <t>Law School</t>
  </si>
  <si>
    <t>Life Sciences Institute</t>
  </si>
  <si>
    <t>Rackham Graduate School</t>
  </si>
  <si>
    <t>School of Dentistry</t>
  </si>
  <si>
    <t>School of Education</t>
  </si>
  <si>
    <t>School of Information</t>
  </si>
  <si>
    <t>School of Kinesiology</t>
  </si>
  <si>
    <t>School of Nursing</t>
  </si>
  <si>
    <t>School of Public Health</t>
  </si>
  <si>
    <t>School of Social Work</t>
  </si>
  <si>
    <t>Stamps School of Art and Design</t>
  </si>
  <si>
    <t>University Libraries</t>
  </si>
  <si>
    <t>Medical School</t>
  </si>
  <si>
    <t>Michigan Health Corporation</t>
  </si>
  <si>
    <t>Athletics</t>
  </si>
  <si>
    <t>Facilities and Operations</t>
  </si>
  <si>
    <t>Finance</t>
  </si>
  <si>
    <t>Investments Office</t>
  </si>
  <si>
    <t>University Human Resources</t>
  </si>
  <si>
    <t>Division of Public Safety &amp; Security</t>
  </si>
  <si>
    <t>Office of Student Publications</t>
  </si>
  <si>
    <t>Vice President and General Counsel</t>
  </si>
  <si>
    <t>Vice President and Secretary of the University</t>
  </si>
  <si>
    <t>Vice President for Development</t>
  </si>
  <si>
    <t>Vice President for Government Relations</t>
  </si>
  <si>
    <t>Vice President for Information Technology</t>
  </si>
  <si>
    <t>Vice President for Student Life</t>
  </si>
  <si>
    <t>University of Michigan Dearborn</t>
  </si>
  <si>
    <t>University of Michigan Flint</t>
  </si>
  <si>
    <t>Certifying Unit</t>
  </si>
  <si>
    <t>All Funds</t>
  </si>
  <si>
    <t>Sponsored Programs</t>
  </si>
  <si>
    <t>#</t>
  </si>
  <si>
    <t>Total</t>
  </si>
  <si>
    <t>$</t>
  </si>
  <si>
    <t>DR4 Disbursements</t>
  </si>
  <si>
    <t>%</t>
  </si>
  <si>
    <t>FY 2017</t>
  </si>
  <si>
    <t>P-Cards Open &gt; 6 months (#)</t>
  </si>
  <si>
    <t>Underutilized P-Cards (#/%)</t>
  </si>
  <si>
    <t>No Activity P-Cards (#/%)</t>
  </si>
  <si>
    <t>Cash Handling</t>
  </si>
  <si>
    <t>Deposits (#/$)</t>
  </si>
  <si>
    <t>P-Cards Open (#)</t>
  </si>
  <si>
    <t>Deficit Balances</t>
  </si>
  <si>
    <t>R</t>
  </si>
  <si>
    <t>&gt; 20 %</t>
  </si>
  <si>
    <r>
      <t xml:space="preserve">10% </t>
    </r>
    <r>
      <rPr>
        <u/>
        <sz val="11"/>
        <color theme="1"/>
        <rFont val="Calibri"/>
        <family val="2"/>
        <scheme val="minor"/>
      </rPr>
      <t>&lt;</t>
    </r>
  </si>
  <si>
    <t>Y</t>
  </si>
  <si>
    <r>
      <rPr>
        <u/>
        <sz val="11"/>
        <color theme="1"/>
        <rFont val="Calibri"/>
        <family val="2"/>
        <scheme val="minor"/>
      </rPr>
      <t>&lt;</t>
    </r>
    <r>
      <rPr>
        <sz val="11"/>
        <color theme="1"/>
        <rFont val="Calibri"/>
        <family val="2"/>
        <scheme val="minor"/>
      </rPr>
      <t xml:space="preserve"> 20%</t>
    </r>
  </si>
  <si>
    <t>G</t>
  </si>
  <si>
    <t>&lt; 10%</t>
  </si>
  <si>
    <t>&gt; 25 %</t>
  </si>
  <si>
    <r>
      <t xml:space="preserve">15% </t>
    </r>
    <r>
      <rPr>
        <u/>
        <sz val="11"/>
        <color theme="1"/>
        <rFont val="Calibri"/>
        <family val="2"/>
        <scheme val="minor"/>
      </rPr>
      <t>&lt;</t>
    </r>
  </si>
  <si>
    <r>
      <rPr>
        <u/>
        <sz val="11"/>
        <color theme="1"/>
        <rFont val="Calibri"/>
        <family val="2"/>
        <scheme val="minor"/>
      </rPr>
      <t>&lt;</t>
    </r>
    <r>
      <rPr>
        <sz val="11"/>
        <color theme="1"/>
        <rFont val="Calibri"/>
        <family val="2"/>
        <scheme val="minor"/>
      </rPr>
      <t xml:space="preserve"> 25%</t>
    </r>
  </si>
  <si>
    <r>
      <rPr>
        <u/>
        <sz val="11"/>
        <color theme="1"/>
        <rFont val="Calibri"/>
        <family val="2"/>
        <scheme val="minor"/>
      </rPr>
      <t>&gt;</t>
    </r>
    <r>
      <rPr>
        <sz val="11"/>
        <color theme="1"/>
        <rFont val="Calibri"/>
        <family val="2"/>
        <scheme val="minor"/>
      </rPr>
      <t xml:space="preserve"> 1.5%</t>
    </r>
  </si>
  <si>
    <t>Effort Reporting</t>
  </si>
  <si>
    <t>&lt; 76%</t>
  </si>
  <si>
    <r>
      <t xml:space="preserve">76% </t>
    </r>
    <r>
      <rPr>
        <u/>
        <sz val="11"/>
        <color theme="1"/>
        <rFont val="Calibri"/>
        <family val="2"/>
        <scheme val="minor"/>
      </rPr>
      <t>&lt;</t>
    </r>
  </si>
  <si>
    <r>
      <rPr>
        <u/>
        <sz val="11"/>
        <color theme="1"/>
        <rFont val="Calibri"/>
        <family val="2"/>
        <scheme val="minor"/>
      </rPr>
      <t>&lt;</t>
    </r>
    <r>
      <rPr>
        <sz val="11"/>
        <color theme="1"/>
        <rFont val="Calibri"/>
        <family val="2"/>
        <scheme val="minor"/>
      </rPr>
      <t xml:space="preserve"> 86%</t>
    </r>
  </si>
  <si>
    <t>&gt; 1.9%</t>
  </si>
  <si>
    <t>• Total dollars transferred over 90 days as a % of total dollars paid</t>
  </si>
  <si>
    <r>
      <t xml:space="preserve">1.3% </t>
    </r>
    <r>
      <rPr>
        <u/>
        <sz val="11"/>
        <color theme="1"/>
        <rFont val="Calibri"/>
        <family val="2"/>
        <scheme val="minor"/>
      </rPr>
      <t>&lt;</t>
    </r>
  </si>
  <si>
    <r>
      <rPr>
        <u/>
        <sz val="11"/>
        <color theme="1"/>
        <rFont val="Calibri"/>
        <family val="2"/>
        <scheme val="minor"/>
      </rPr>
      <t>&lt;</t>
    </r>
    <r>
      <rPr>
        <sz val="11"/>
        <color theme="1"/>
        <rFont val="Calibri"/>
        <family val="2"/>
        <scheme val="minor"/>
      </rPr>
      <t xml:space="preserve"> 1.9%</t>
    </r>
  </si>
  <si>
    <t>Underutilized P-Cards</t>
  </si>
  <si>
    <t>&gt; 20%</t>
  </si>
  <si>
    <r>
      <t xml:space="preserve">14% </t>
    </r>
    <r>
      <rPr>
        <u/>
        <sz val="11"/>
        <color theme="1"/>
        <rFont val="Calibri"/>
        <family val="2"/>
        <scheme val="minor"/>
      </rPr>
      <t>&lt;</t>
    </r>
  </si>
  <si>
    <t>• Number of underutilized P-Cards as a % of total number of P-Cards open for at least 6 months</t>
  </si>
  <si>
    <t>No Activity P-Cards</t>
  </si>
  <si>
    <t>&gt; 4.2%</t>
  </si>
  <si>
    <t>• Definition: P-Card open for at least 6 months and no activity, regardless of credit limit</t>
  </si>
  <si>
    <r>
      <t xml:space="preserve">3.2% </t>
    </r>
    <r>
      <rPr>
        <u/>
        <sz val="11"/>
        <color theme="1"/>
        <rFont val="Calibri"/>
        <family val="2"/>
        <scheme val="minor"/>
      </rPr>
      <t>&lt;</t>
    </r>
  </si>
  <si>
    <r>
      <rPr>
        <u/>
        <sz val="11"/>
        <color theme="1"/>
        <rFont val="Calibri"/>
        <family val="2"/>
        <scheme val="minor"/>
      </rPr>
      <t>&lt;</t>
    </r>
    <r>
      <rPr>
        <sz val="11"/>
        <color theme="1"/>
        <rFont val="Calibri"/>
        <family val="2"/>
        <scheme val="minor"/>
      </rPr>
      <t xml:space="preserve"> 4.2%</t>
    </r>
  </si>
  <si>
    <t>• Number of P-Cards with no activity as a % of total number of P-Cards open at least 6 months</t>
  </si>
  <si>
    <t>&lt; 3.2%</t>
  </si>
  <si>
    <t>Approvers Up to Date on Training (#/%)</t>
  </si>
  <si>
    <t>Final Approvers (#)</t>
  </si>
  <si>
    <t>Locations</t>
  </si>
  <si>
    <t># Depositors</t>
  </si>
  <si>
    <t>Refunds (#/$)</t>
  </si>
  <si>
    <t>No expenses &gt; 5 years with Balance (#/$)</t>
  </si>
  <si>
    <t>Total Dollars Paid ($)</t>
  </si>
  <si>
    <t>Gift Funds</t>
  </si>
  <si>
    <t>Non-Traditional Students (#/$)</t>
  </si>
  <si>
    <t>Effort Certification</t>
  </si>
  <si>
    <t>Depositors Up to Date on Training (#/%)</t>
  </si>
  <si>
    <t>• Total dollars transferred as a % of total dollars paid</t>
  </si>
  <si>
    <t>• Total dollars transferred after Project Grant (P/G) end date as a % of total dollars paid</t>
  </si>
  <si>
    <t>Cash Deposits:</t>
  </si>
  <si>
    <t>Retroactive Pay Changes:</t>
  </si>
  <si>
    <t>• Number of final expense approvers</t>
  </si>
  <si>
    <t>• Total amount of deposits</t>
  </si>
  <si>
    <t>• Number of: deposit locations, deposits, and authorized depositors</t>
  </si>
  <si>
    <t>Credit Cards</t>
  </si>
  <si>
    <t>• Total number and amount of payments received</t>
  </si>
  <si>
    <t>• Total number and amount of refunds</t>
  </si>
  <si>
    <t>No expenses &gt; 5 years with a balance</t>
  </si>
  <si>
    <t>• Definition: gift that had no expenses in 5 or more years and has a balance</t>
  </si>
  <si>
    <t>• Total number and current balance</t>
  </si>
  <si>
    <t>• Total employees certified time by 8/15/yyyy</t>
  </si>
  <si>
    <t>Unit Administered Financial Aid:</t>
  </si>
  <si>
    <t>• Overrides total and as a percent of total disbursements</t>
  </si>
  <si>
    <t>• Non-traditional students count and total amount</t>
  </si>
  <si>
    <t>• Percent of merchants PCI compliant as a percentage of total number of merchants</t>
  </si>
  <si>
    <t>• Definition: gift balance is less than $0, number and total deficit balance</t>
  </si>
  <si>
    <t>• Total amount of financial aid</t>
  </si>
  <si>
    <t>University Total</t>
  </si>
  <si>
    <t>Final Approvers</t>
  </si>
  <si>
    <t>PCards</t>
  </si>
  <si>
    <t>Open</t>
  </si>
  <si>
    <t>Open&gt;6M</t>
  </si>
  <si>
    <t>UnderUtilized</t>
  </si>
  <si>
    <t>No Activity</t>
  </si>
  <si>
    <t>Retro Pay</t>
  </si>
  <si>
    <t>Total Pay</t>
  </si>
  <si>
    <t>Total Transfers</t>
  </si>
  <si>
    <t>&gt;90 Days Transfers</t>
  </si>
  <si>
    <t>Sponsored Programs Retro Pay</t>
  </si>
  <si>
    <t>SP Transfers after P/G End Date</t>
  </si>
  <si>
    <t>Cash Deposits</t>
  </si>
  <si>
    <t># Dep</t>
  </si>
  <si>
    <t>$ Dep</t>
  </si>
  <si>
    <t>Depositors/Training</t>
  </si>
  <si>
    <t># Up To Date Train</t>
  </si>
  <si>
    <t># Merch</t>
  </si>
  <si>
    <t>% Merch Compl</t>
  </si>
  <si>
    <t>Credit Cards-PCI</t>
  </si>
  <si>
    <t># Merch Compl</t>
  </si>
  <si>
    <t>Credits Card Payment Info</t>
  </si>
  <si>
    <t>$ Total</t>
  </si>
  <si>
    <t># Refunds</t>
  </si>
  <si>
    <t>$ Refunds</t>
  </si>
  <si>
    <t>Balances</t>
  </si>
  <si>
    <t>No Expenses</t>
  </si>
  <si>
    <t>Overrides</t>
  </si>
  <si>
    <t>% of Total</t>
  </si>
  <si>
    <t>Non-Traditional Students</t>
  </si>
  <si>
    <t>Merchants compliant (#/%)</t>
  </si>
  <si>
    <t>Disbursement w/ No Rules Applied ($/%)</t>
  </si>
  <si>
    <t>Overrides ($/%)</t>
  </si>
  <si>
    <t>Merchants (#)</t>
  </si>
  <si>
    <t>Total Transfers ($/%)</t>
  </si>
  <si>
    <t>Transfers after P/G End Date ($/%)</t>
  </si>
  <si>
    <t>Transfers &gt; 90 Days ($/%)</t>
  </si>
  <si>
    <t>Travel and Expense Approvers</t>
  </si>
  <si>
    <t>P-Card / Travel &amp; Expense:</t>
  </si>
  <si>
    <t>Gift Fund Balance</t>
  </si>
  <si>
    <t>• Definition: All gift funds with balance (positive or negative)</t>
  </si>
  <si>
    <t>• FY2014 through FYTD 2017 (3/31/2017) data, as of April 14, 2017</t>
  </si>
  <si>
    <t>Depositors (#)</t>
  </si>
  <si>
    <t>Merchant Training</t>
  </si>
  <si>
    <t>Auth Users</t>
  </si>
  <si>
    <t>Up To Date Train</t>
  </si>
  <si>
    <t>% Up to Date</t>
  </si>
  <si>
    <t>Authorized Users (#)</t>
  </si>
  <si>
    <t>• No disbursement rules applied (DR4) total and as a percent of total disbursements</t>
  </si>
  <si>
    <t>Students who are not currently admitted to or enrolled in a University of Michigan degree or certificate seeking program</t>
  </si>
  <si>
    <t>Financial Aid record built manually in order to allow payments to flow through financial aid</t>
  </si>
  <si>
    <t>Disbursements that involve manual override (i.e. not batch)</t>
  </si>
  <si>
    <t>P-Cards</t>
  </si>
  <si>
    <t>Unit Financial Aid Totals ($)</t>
  </si>
  <si>
    <t>Individuals that are required to "Re-Certify" are shown as complete, based on the original completion date</t>
  </si>
  <si>
    <t>Individuals that were/are assigned to Admin DeptID 677440 (Benefits for Non-Distribution Appointments), have been reassigned to their prior Admin DeptID</t>
  </si>
  <si>
    <t>Faculty/Staff Required to Certify (#)</t>
  </si>
  <si>
    <t>Completed by 08/15 (#/%)</t>
  </si>
  <si>
    <t>Reqrd</t>
  </si>
  <si>
    <t>On-Time</t>
  </si>
  <si>
    <t>% On-Time</t>
  </si>
  <si>
    <t>• Total employees required to certify effort</t>
  </si>
  <si>
    <t>• Total employees certified</t>
  </si>
  <si>
    <r>
      <t xml:space="preserve">• Definition: credit limit </t>
    </r>
    <r>
      <rPr>
        <u/>
        <sz val="11"/>
        <color theme="1"/>
        <rFont val="Calibri"/>
        <family val="2"/>
        <scheme val="minor"/>
      </rPr>
      <t>&gt;</t>
    </r>
    <r>
      <rPr>
        <sz val="11"/>
        <color theme="1"/>
        <rFont val="Calibri"/>
        <family val="2"/>
        <scheme val="minor"/>
      </rPr>
      <t xml:space="preserve"> $10,000 and max monthly spend is &lt; 50% of credit limit, P-Card is open for at least 6 months</t>
    </r>
  </si>
  <si>
    <t>School for Environment and Sustainability</t>
  </si>
  <si>
    <t>AY 2017</t>
  </si>
  <si>
    <t>Color Coding for areas that show Percent of Trainers that are up to date</t>
  </si>
  <si>
    <t># Total Transactions</t>
  </si>
  <si>
    <t>`</t>
  </si>
  <si>
    <t>Unit</t>
  </si>
  <si>
    <t>=IF(ISNA(VLOOKUP('Filter-Home Page'!$D$12,'Combined Info'!$A$6:$FE$51,9,FALSE))=TRUE,"DEPT not Found",VLOOKUP('Filter-Home Page'!$D$12,'Combined Info'!$A$6:$FE$51,9,FALSE))</t>
  </si>
  <si>
    <t>=IF(ISNA(VLOOKUP($B$4,PCards!$A$5:$G$51,7,FALSE))=TRUE,"DEPT not Found",VLOOKUP($B$4,PCards!$A$5:$G$51,7,FALSE))</t>
  </si>
  <si>
    <t>FY 2018</t>
  </si>
  <si>
    <t>FY 2019</t>
  </si>
  <si>
    <t>AY 2018</t>
  </si>
  <si>
    <t>AY 2019</t>
  </si>
  <si>
    <t>Cash &amp; Checks</t>
  </si>
  <si>
    <t>Credit Card Merchants</t>
  </si>
  <si>
    <r>
      <t xml:space="preserve">Cash Handling </t>
    </r>
    <r>
      <rPr>
        <b/>
        <u/>
        <sz val="12"/>
        <color theme="1"/>
        <rFont val="Calibri"/>
        <family val="2"/>
        <scheme val="minor"/>
      </rPr>
      <t>($ in 000's)</t>
    </r>
  </si>
  <si>
    <r>
      <t xml:space="preserve">Gift Funds </t>
    </r>
    <r>
      <rPr>
        <b/>
        <u/>
        <sz val="12"/>
        <color theme="1"/>
        <rFont val="Calibri"/>
        <family val="2"/>
        <scheme val="minor"/>
      </rPr>
      <t>($ in 000's)</t>
    </r>
  </si>
  <si>
    <r>
      <t xml:space="preserve">Unit Administered Financial Aid </t>
    </r>
    <r>
      <rPr>
        <b/>
        <u/>
        <sz val="12"/>
        <color theme="1"/>
        <rFont val="Calibri"/>
        <family val="2"/>
        <scheme val="minor"/>
      </rPr>
      <t>($ in 000's)</t>
    </r>
  </si>
  <si>
    <r>
      <t xml:space="preserve">Employment </t>
    </r>
    <r>
      <rPr>
        <b/>
        <u/>
        <sz val="12"/>
        <color theme="1"/>
        <rFont val="Calibri"/>
        <family val="2"/>
        <scheme val="minor"/>
      </rPr>
      <t>($ in 000's)</t>
    </r>
  </si>
  <si>
    <t>Sales (#/$)</t>
  </si>
  <si>
    <t>Users Up to Date on Training (#/%)</t>
  </si>
  <si>
    <t>All Funds Retro Pay</t>
  </si>
  <si>
    <t>Approvers Up to Date on Training</t>
  </si>
  <si>
    <t>Employment/Payroll Process</t>
  </si>
  <si>
    <t>P</t>
  </si>
  <si>
    <t>PCard Process</t>
  </si>
  <si>
    <t>Journal Entry Process</t>
  </si>
  <si>
    <t>Gift Card Process</t>
  </si>
  <si>
    <t>Cash Handling Process</t>
  </si>
  <si>
    <t>Travel &amp; Expense (Concur) Process</t>
  </si>
  <si>
    <t>HSIP Process</t>
  </si>
  <si>
    <t>Unit Administered Financial Aid Process</t>
  </si>
  <si>
    <t>Financial Stewardship of Gifts</t>
  </si>
  <si>
    <t>N/A</t>
  </si>
  <si>
    <t>Annual Certification Responses</t>
  </si>
  <si>
    <t>Human Subject Incentives Program</t>
  </si>
  <si>
    <t>Unit Administered Financial Aid</t>
  </si>
  <si>
    <t>Capital Equipment</t>
  </si>
  <si>
    <t>All Funds-#</t>
  </si>
  <si>
    <t>Spon Programs #</t>
  </si>
  <si>
    <t>SP % of Total</t>
  </si>
  <si>
    <t>All Funds Blank Custodians</t>
  </si>
  <si>
    <t>All Funds Capital Equipment</t>
  </si>
  <si>
    <t>Total Assets (#)</t>
  </si>
  <si>
    <t>Assets - Capital Equipment</t>
  </si>
  <si>
    <t>Assets with Blank Custodians</t>
  </si>
  <si>
    <t>Sponsored Programs Capital Equipment</t>
  </si>
  <si>
    <t>Total SP Assets (#/%)</t>
  </si>
  <si>
    <t>INPUT YOUR FINANCIAL DATA</t>
  </si>
  <si>
    <t>Tap to view Financial Report</t>
  </si>
  <si>
    <t>METRIC NAME</t>
  </si>
  <si>
    <t>DEFINE KEY METRICS HERE</t>
  </si>
  <si>
    <t xml:space="preserve"> SELECT UP TO 5 KEY METRICS TO SHOW AT THE TOP OF THE REPORT</t>
  </si>
  <si>
    <t xml:space="preserve">  Tap to view Financial Report</t>
  </si>
  <si>
    <t>This worksheet is used for the Financial Report calculations and should remain hidden.</t>
  </si>
  <si>
    <t>Position</t>
  </si>
  <si>
    <t>This year</t>
  </si>
  <si>
    <t>Previous Year</t>
  </si>
  <si>
    <t>Key Metrics</t>
  </si>
  <si>
    <t>KEY METRICS</t>
  </si>
  <si>
    <t>ALL METRICS</t>
  </si>
  <si>
    <t>METRIC</t>
  </si>
  <si>
    <t>METRIC 49</t>
  </si>
  <si>
    <t>METRIC 50</t>
  </si>
  <si>
    <t>METRIC 51</t>
  </si>
  <si>
    <t>Open PCards</t>
  </si>
  <si>
    <t>PCards Open for 6 Months</t>
  </si>
  <si>
    <t>Underutilized PCards #</t>
  </si>
  <si>
    <t>Underutilized PCards %</t>
  </si>
  <si>
    <t>Unused Pcards #</t>
  </si>
  <si>
    <t>Unused Pcards %</t>
  </si>
  <si>
    <t>CHANGE</t>
  </si>
  <si>
    <t xml:space="preserve"> YOU CAN DEFINE UP TO 50 KEY METRICS FOR 7 YEARS</t>
  </si>
  <si>
    <t>=IF(ISNA(VLOOKUP($B$4,PCards!$A$5:$AH$51,2,FALSE))=TRUE,"DEPT not Found",VLOOKUP($B$4,PCards!$A$5:$AH$51,2,FALSE))</t>
  </si>
  <si>
    <t>Blank Custodians #</t>
  </si>
  <si>
    <t>All Metrics (works up to 50 metrics)</t>
  </si>
  <si>
    <t>Employment ($ in 000's)</t>
  </si>
  <si>
    <t>Total Paid $</t>
  </si>
  <si>
    <t>Total Transfers %</t>
  </si>
  <si>
    <t>Total Transfers $</t>
  </si>
  <si>
    <t>Transfers &gt; 90 Days %</t>
  </si>
  <si>
    <t>Transfers After PG End Date $</t>
  </si>
  <si>
    <t>Transfers After PG End Date %</t>
  </si>
  <si>
    <t>Faculty/Staff Required to Certify #</t>
  </si>
  <si>
    <t>On-Time #</t>
  </si>
  <si>
    <t>On-Time %</t>
  </si>
  <si>
    <t>Cash Handling ($ in 000's)</t>
  </si>
  <si>
    <t>Deposits #</t>
  </si>
  <si>
    <t>Depositors #</t>
  </si>
  <si>
    <t>Depositors - Up to Date on Training #</t>
  </si>
  <si>
    <t>Depositors - Up to Date on Training %</t>
  </si>
  <si>
    <t>Merchants #</t>
  </si>
  <si>
    <t>Merchants Compliant #</t>
  </si>
  <si>
    <t>Merchants Compliant %</t>
  </si>
  <si>
    <t>Sales #</t>
  </si>
  <si>
    <t>Refunds #</t>
  </si>
  <si>
    <t>Refunds $</t>
  </si>
  <si>
    <t>Authorized Users #</t>
  </si>
  <si>
    <t>Users Up to Date on Training #</t>
  </si>
  <si>
    <t>Users Up to Date on Training %</t>
  </si>
  <si>
    <t>Travel &amp; Expense (Concur)</t>
  </si>
  <si>
    <t>T&amp;E</t>
  </si>
  <si>
    <t>Final Approvers #</t>
  </si>
  <si>
    <t>Final Approvers Up to Date on Training #</t>
  </si>
  <si>
    <t>Final Approvers Up to Date on Training %</t>
  </si>
  <si>
    <t>Gift Funds ($ in 000's)</t>
  </si>
  <si>
    <t>Gift</t>
  </si>
  <si>
    <r>
      <t xml:space="preserve">No Expenses </t>
    </r>
    <r>
      <rPr>
        <u/>
        <sz val="11"/>
        <color theme="1" tint="0.34998626667073579"/>
        <rFont val="Arial"/>
        <family val="2"/>
      </rPr>
      <t>&gt;</t>
    </r>
    <r>
      <rPr>
        <sz val="11"/>
        <color theme="1" tint="0.34998626667073579"/>
        <rFont val="Arial"/>
        <family val="2"/>
      </rPr>
      <t xml:space="preserve"> 5 years #</t>
    </r>
  </si>
  <si>
    <r>
      <t xml:space="preserve">No Expenses </t>
    </r>
    <r>
      <rPr>
        <u/>
        <sz val="11"/>
        <color theme="1" tint="0.34998626667073579"/>
        <rFont val="Arial"/>
        <family val="2"/>
      </rPr>
      <t>&gt;</t>
    </r>
    <r>
      <rPr>
        <sz val="11"/>
        <color theme="1" tint="0.34998626667073579"/>
        <rFont val="Arial"/>
        <family val="2"/>
      </rPr>
      <t xml:space="preserve"> 5 years Balance $</t>
    </r>
  </si>
  <si>
    <t>Unit Administered Financial Aid ($ in 000's)</t>
  </si>
  <si>
    <t>FA</t>
  </si>
  <si>
    <t>Total Disbursed $</t>
  </si>
  <si>
    <t>Overrides $</t>
  </si>
  <si>
    <t>Overrides %</t>
  </si>
  <si>
    <t>No Disbursement Rules Applied (DR4) $</t>
  </si>
  <si>
    <t>No Disbursement Rules Applied (DR4) %</t>
  </si>
  <si>
    <t>Non Traditional Students #</t>
  </si>
  <si>
    <t>Non Traditional Students $</t>
  </si>
  <si>
    <t>Total Assets #</t>
  </si>
  <si>
    <t>SP Equip</t>
  </si>
  <si>
    <t>Retro Salary Transfers &gt; 90 Days $</t>
  </si>
  <si>
    <t>*</t>
  </si>
  <si>
    <t>* = Not required for Fiscal Year</t>
  </si>
  <si>
    <t>Total Dollars Paid</t>
  </si>
  <si>
    <t>Total Dollars Xfrd</t>
  </si>
  <si>
    <t>n/a</t>
  </si>
  <si>
    <t>Row Labels</t>
  </si>
  <si>
    <t>Sum of Total Number of Approvers</t>
  </si>
  <si>
    <t>Sum of Approvers Up to Date on Training</t>
  </si>
  <si>
    <t>Exec VP for Medical Affairs Shared Services</t>
  </si>
  <si>
    <t>Please Use Drop Down Menu to Select Unit Below</t>
  </si>
  <si>
    <t>Internal Controls Year Over Year Metrics and Trends</t>
  </si>
  <si>
    <t>5 Year ScoreCard</t>
  </si>
  <si>
    <t>Use Buttons Below to Select Which Report to Review</t>
  </si>
  <si>
    <t>Year Over Year Metrics and Trends</t>
  </si>
  <si>
    <t>This report shows year over year changes as well as a 5 year trend line for various Internal Control topics</t>
  </si>
  <si>
    <t>• Total number of In-Service Assets</t>
  </si>
  <si>
    <t>Assets counted by Asset ID Number, includes Asset Category Descriptions of:  Purchased Equipment, Gifts in Kind, and Grants in Kind</t>
  </si>
  <si>
    <t>Sponsored Programs includes assets fully or partially funded by funds 20000 and 25000</t>
  </si>
  <si>
    <t>• Total number of Assets with a blank custodian</t>
  </si>
  <si>
    <t>• Total number of Sponsored Programs In-Service Assets</t>
  </si>
  <si>
    <t>• Total number of Sponsored Programs Assets In-Service for 10 or more years and as a percent of total</t>
  </si>
  <si>
    <t>• Total number of Assets In-Service for 10 or more years and as a percent of total</t>
  </si>
  <si>
    <t>• Total number of Sponsored Programs Assets with a blank custodian</t>
  </si>
  <si>
    <t>Blank Custodians %</t>
  </si>
  <si>
    <t>All Funds Blank Custodians %</t>
  </si>
  <si>
    <t>Unused Metric</t>
  </si>
  <si>
    <t>Deposits $</t>
  </si>
  <si>
    <t>Cash</t>
  </si>
  <si>
    <t>Credit Card</t>
  </si>
  <si>
    <t>Sales $</t>
  </si>
  <si>
    <t>% of Total Assets</t>
  </si>
  <si>
    <t>Gift Fund Balance $</t>
  </si>
  <si>
    <t>Retro Salary Transfers &gt; 90 Days $ (in 000's)</t>
  </si>
  <si>
    <t>Deposits $ (in 000's)</t>
  </si>
  <si>
    <t>Total Retro Salary Transfers $ (in 000's)</t>
  </si>
  <si>
    <t>Gift Fund Balance $ 
(in 000's)</t>
  </si>
  <si>
    <t>Fiscal Year</t>
  </si>
  <si>
    <t>Pts</t>
  </si>
  <si>
    <t>Travel &amp; Expense</t>
  </si>
  <si>
    <t>Notes:</t>
  </si>
  <si>
    <t>Effort Certification data collection started in FY 2015</t>
  </si>
  <si>
    <t>Capital Equipment data collection started in FY 2017. However, Blank Custodian counts were not started until FY 2018.</t>
  </si>
  <si>
    <t>Reflects Metrics for processes in scope for FY 2019</t>
  </si>
  <si>
    <t>Count of Deposit Locations for FY 2017 is overstated.  There was a change in banks during the fiscal year, so there is an old and new location number for each bank.</t>
  </si>
  <si>
    <t>Ross School of Business</t>
  </si>
  <si>
    <t>School of Music, Theatre and Dance</t>
  </si>
  <si>
    <t>Shared Services Center</t>
  </si>
  <si>
    <t>A. Taubman College of Arch. and Urban Plan.</t>
  </si>
  <si>
    <t>Certifying Units/Areas Totals</t>
  </si>
  <si>
    <t>Certifying Units</t>
  </si>
  <si>
    <t>In Service Assets</t>
  </si>
  <si>
    <t>In Service for 10 or more Years</t>
  </si>
  <si>
    <t>Average Years In Service</t>
  </si>
  <si>
    <t>Blank Custodians</t>
  </si>
  <si>
    <t>% of SP Assets</t>
  </si>
  <si>
    <t>University of Michigan - Dearborn</t>
  </si>
  <si>
    <t>University of Michigan - Flint</t>
  </si>
  <si>
    <t>SP Funds</t>
  </si>
  <si>
    <t>Underutilized as % of Total</t>
  </si>
  <si>
    <t>Audit Services</t>
  </si>
  <si>
    <t>U-M Office of Research</t>
  </si>
  <si>
    <t>Vice President for Communications</t>
  </si>
  <si>
    <t>N</t>
  </si>
  <si>
    <t>Concur</t>
  </si>
  <si>
    <t>Travel &amp; Expense Spend</t>
  </si>
  <si>
    <t>Cap Equip</t>
  </si>
  <si>
    <t>Travel Spend</t>
  </si>
  <si>
    <t>Other Spend</t>
  </si>
  <si>
    <t>Concur Approvers</t>
  </si>
  <si>
    <t>Total Spend</t>
  </si>
  <si>
    <t>Travel/Hosting</t>
  </si>
  <si>
    <t>Other</t>
  </si>
  <si>
    <t># of Open PCards</t>
  </si>
  <si>
    <t># of PCards open for at least 6 months*</t>
  </si>
  <si>
    <t># of Underutilized PCards**</t>
  </si>
  <si>
    <t># of PCards with No Activity***</t>
  </si>
  <si>
    <t>PCards with No Activity as % of Total</t>
  </si>
  <si>
    <t>Pcards</t>
  </si>
  <si>
    <t>SP Retro Pay</t>
  </si>
  <si>
    <t>Effort Cert</t>
  </si>
  <si>
    <t>Dollars Xfrd
% of Total Paid</t>
  </si>
  <si>
    <r>
      <t xml:space="preserve">Total Dollars Xfrd </t>
    </r>
    <r>
      <rPr>
        <b/>
        <u/>
        <sz val="10"/>
        <rFont val="Arial"/>
        <family val="2"/>
      </rPr>
      <t>&gt;</t>
    </r>
    <r>
      <rPr>
        <b/>
        <sz val="10"/>
        <rFont val="Arial"/>
        <family val="2"/>
      </rPr>
      <t xml:space="preserve"> 90 Days</t>
    </r>
  </si>
  <si>
    <r>
      <t xml:space="preserve">Xfrd </t>
    </r>
    <r>
      <rPr>
        <b/>
        <u/>
        <sz val="10"/>
        <rFont val="Arial"/>
        <family val="2"/>
      </rPr>
      <t>&gt;</t>
    </r>
    <r>
      <rPr>
        <b/>
        <sz val="10"/>
        <rFont val="Arial"/>
        <family val="2"/>
      </rPr>
      <t xml:space="preserve"> 90 days
% of Total Paid</t>
    </r>
  </si>
  <si>
    <t>Sponsored Programs Total Dollars Paid</t>
  </si>
  <si>
    <t>Sponsored Programs Total Dollars Xfrd</t>
  </si>
  <si>
    <t>Travel</t>
  </si>
  <si>
    <t>Travel and Expense Spend</t>
  </si>
  <si>
    <t>FY 2020</t>
  </si>
  <si>
    <t>Financial Aid</t>
  </si>
  <si>
    <t>Capital Equip</t>
  </si>
  <si>
    <t>SP Capital Equip</t>
  </si>
  <si>
    <t>SP Transfers Onto &amp; after P/G End Date</t>
  </si>
  <si>
    <t>Totals</t>
  </si>
  <si>
    <t>AY 2020</t>
  </si>
  <si>
    <t># of students</t>
  </si>
  <si>
    <t xml:space="preserve">This report shows 5 years worth of data, and red/yellow/green coding for various Internal Control topics as well as Certification Responses </t>
  </si>
  <si>
    <t>Total:</t>
  </si>
  <si>
    <t/>
  </si>
  <si>
    <t>Total SP Transfers Onto</t>
  </si>
  <si>
    <t>Ann Arbor Campus Total</t>
  </si>
  <si>
    <t>Grand Total</t>
  </si>
  <si>
    <t>Active Locations</t>
  </si>
  <si>
    <t>Active Deposit Locations #</t>
  </si>
  <si>
    <t>Active Deposit Locations (#)</t>
  </si>
  <si>
    <t>Total $ After PG End Date - Onto</t>
  </si>
  <si>
    <t>FY 2021</t>
  </si>
  <si>
    <t>AY 2021</t>
  </si>
  <si>
    <t>• Based on spending from 7/1/2016 - 06/30/2021</t>
  </si>
  <si>
    <t>FY 2017 through FY 2021  Scorecard Assumptions</t>
  </si>
  <si>
    <t>• FY2017 through FY2021 (06/30/2021) data</t>
  </si>
  <si>
    <t>• Based on gift balance FY2017 through FY2021 (06/30/2021) data</t>
  </si>
  <si>
    <t>University of Michigan Health System</t>
  </si>
  <si>
    <r>
      <t xml:space="preserve">• Approvers up to date on training as a percentage of number of final expense approvers (limited to Certifying 
   Unit's Appointing DeptIDs) as of </t>
    </r>
    <r>
      <rPr>
        <sz val="11"/>
        <color rgb="FFFF0000"/>
        <rFont val="Calibri"/>
        <family val="2"/>
        <scheme val="minor"/>
      </rPr>
      <t>July 29, 2021</t>
    </r>
  </si>
  <si>
    <r>
      <t xml:space="preserve">• FY2017 through FY2021 (06/30/2021) data as of </t>
    </r>
    <r>
      <rPr>
        <sz val="11"/>
        <color rgb="FFFF0000"/>
        <rFont val="Calibri"/>
        <family val="2"/>
        <scheme val="minor"/>
      </rPr>
      <t>July 20, 2021</t>
    </r>
  </si>
  <si>
    <r>
      <t xml:space="preserve">• Number of unique depositors up to date on training as a percentage of number of total depositors, as of 
  </t>
    </r>
    <r>
      <rPr>
        <sz val="11"/>
        <color rgb="FFFF0000"/>
        <rFont val="Calibri"/>
        <family val="2"/>
        <scheme val="minor"/>
      </rPr>
      <t>July 29, 2021</t>
    </r>
  </si>
  <si>
    <r>
      <t xml:space="preserve">• Authorized users up to date on training as a percentage of number of total authorized users, as of 
</t>
    </r>
    <r>
      <rPr>
        <sz val="11"/>
        <color rgb="FFFF0000"/>
        <rFont val="Calibri"/>
        <family val="2"/>
        <scheme val="minor"/>
      </rPr>
      <t xml:space="preserve"> July 29, 2021</t>
    </r>
  </si>
  <si>
    <r>
      <t xml:space="preserve">• AY2017 through AY2021 (06/30/2021) data, as of </t>
    </r>
    <r>
      <rPr>
        <sz val="11"/>
        <color rgb="FFFF0000"/>
        <rFont val="Calibri"/>
        <family val="2"/>
        <scheme val="minor"/>
      </rPr>
      <t>July 16, 2021</t>
    </r>
  </si>
  <si>
    <r>
      <t xml:space="preserve">• FY2017 through FY2021 (06/30/2021) data, as of </t>
    </r>
    <r>
      <rPr>
        <sz val="11"/>
        <color rgb="FFFF0000"/>
        <rFont val="Calibri"/>
        <family val="2"/>
        <scheme val="minor"/>
      </rPr>
      <t>July 22, 2021</t>
    </r>
  </si>
  <si>
    <r>
      <t xml:space="preserve">• FY2017 through FY2021 (06/30/2021) data, as of </t>
    </r>
    <r>
      <rPr>
        <sz val="11"/>
        <color rgb="FFFF0000"/>
        <rFont val="Calibri"/>
        <family val="2"/>
        <scheme val="minor"/>
      </rPr>
      <t>August 17,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</si>
</sst>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quot;$&quot;#,##0.0"/>
    <numFmt numFmtId="168" formatCode="&quot;$&quot;#,##0.0_);\(&quot;$&quot;#,##0.0\)"/>
    <numFmt numFmtId="169" formatCode="&quot;$&quot;#,##0.00"/>
    <numFmt numFmtId="170" formatCode="0.0"/>
    <numFmt numFmtId="171" formatCode="#,##0.0_);\(#,##0.0\)"/>
    <numFmt numFmtId="172" formatCode="[$-10409]&quot;$&quot;#,##0;\(&quot;$&quot;#,##0\)"/>
    <numFmt numFmtId="173" formatCode="_(&quot;$&quot;* #,##0_);_(&quot;$&quot;* \(#,##0\);_(&quot;$&quot;* &quot;-&quot;??_);_(@_)"/>
  </numFmts>
  <fonts count="7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0"/>
      <name val="Arial"/>
      <family val="2"/>
    </font>
    <font>
      <sz val="11"/>
      <color indexed="8"/>
      <name val="Calibri"/>
      <family val="2"/>
      <scheme val="minor"/>
    </font>
    <font>
      <b/>
      <sz val="11"/>
      <color theme="1"/>
      <name val="Calibri"/>
      <family val="2"/>
      <scheme val="minor"/>
    </font>
    <font>
      <b/>
      <u/>
      <sz val="12"/>
      <color theme="1"/>
      <name val="Calibri"/>
      <family val="2"/>
      <scheme val="minor"/>
    </font>
    <font>
      <u/>
      <sz val="11"/>
      <color theme="1"/>
      <name val="Calibri"/>
      <family val="2"/>
      <scheme val="minor"/>
    </font>
    <font>
      <u/>
      <sz val="12"/>
      <color theme="1"/>
      <name val="Calibri"/>
      <family val="2"/>
      <scheme val="minor"/>
    </font>
    <font>
      <b/>
      <sz val="11"/>
      <color rgb="FFFF0000"/>
      <name val="Calibri"/>
      <family val="2"/>
      <scheme val="minor"/>
    </font>
    <font>
      <sz val="10"/>
      <color rgb="FF000000"/>
      <name val="Arial"/>
      <family val="2"/>
    </font>
    <font>
      <b/>
      <u/>
      <sz val="16"/>
      <color theme="1"/>
      <name val="Calibri"/>
      <family val="2"/>
      <scheme val="minor"/>
    </font>
    <font>
      <b/>
      <u/>
      <sz val="11"/>
      <color theme="1"/>
      <name val="Calibri"/>
      <family val="2"/>
      <scheme val="minor"/>
    </font>
    <font>
      <sz val="10"/>
      <color rgb="FFCC0000"/>
      <name val="Arial"/>
      <family val="2"/>
    </font>
    <font>
      <sz val="11"/>
      <name val="Calibri"/>
      <family val="2"/>
      <scheme val="minor"/>
    </font>
    <font>
      <sz val="10"/>
      <color rgb="FFD6A300"/>
      <name val="Arial"/>
      <family val="2"/>
    </font>
    <font>
      <sz val="10"/>
      <color rgb="FF008000"/>
      <name val="Arial"/>
      <family val="2"/>
    </font>
    <font>
      <sz val="12"/>
      <color theme="1"/>
      <name val="Calibri"/>
      <family val="2"/>
      <scheme val="minor"/>
    </font>
    <font>
      <sz val="11"/>
      <color rgb="FFFF0000"/>
      <name val="Calibri"/>
      <family val="2"/>
      <scheme val="minor"/>
    </font>
    <font>
      <b/>
      <sz val="11"/>
      <color rgb="FF000000"/>
      <name val="Calibri"/>
      <family val="2"/>
      <scheme val="minor"/>
    </font>
    <font>
      <b/>
      <sz val="11"/>
      <name val="Calibri"/>
      <family val="2"/>
      <scheme val="minor"/>
    </font>
    <font>
      <b/>
      <i/>
      <sz val="10"/>
      <name val="Arial"/>
      <family val="2"/>
    </font>
    <font>
      <sz val="10"/>
      <color rgb="FF000000"/>
      <name val="Arial"/>
      <family val="2"/>
    </font>
    <font>
      <sz val="10"/>
      <color rgb="FF000000"/>
      <name val="Arial"/>
      <family val="2"/>
    </font>
    <font>
      <sz val="10"/>
      <color rgb="FF000000"/>
      <name val="Arial"/>
      <family val="2"/>
    </font>
    <font>
      <b/>
      <u/>
      <sz val="14"/>
      <color theme="1"/>
      <name val="Calibri"/>
      <family val="2"/>
      <scheme val="minor"/>
    </font>
    <font>
      <b/>
      <sz val="14"/>
      <color theme="1"/>
      <name val="Calibri"/>
      <family val="2"/>
      <scheme val="minor"/>
    </font>
    <font>
      <b/>
      <sz val="12"/>
      <color theme="1"/>
      <name val="Calibri"/>
      <family val="2"/>
      <scheme val="minor"/>
    </font>
    <font>
      <b/>
      <sz val="24"/>
      <color rgb="FFFF0000"/>
      <name val="Calibri"/>
      <family val="2"/>
      <scheme val="minor"/>
    </font>
    <font>
      <b/>
      <i/>
      <sz val="14"/>
      <color theme="1"/>
      <name val="Calibri"/>
      <family val="2"/>
      <scheme val="minor"/>
    </font>
    <font>
      <b/>
      <sz val="12"/>
      <color theme="1"/>
      <name val="Calibri"/>
      <family val="2"/>
    </font>
    <font>
      <b/>
      <sz val="11"/>
      <color theme="0"/>
      <name val="Calibri"/>
      <family val="2"/>
      <scheme val="minor"/>
    </font>
    <font>
      <sz val="24"/>
      <color theme="4" tint="-0.499984740745262"/>
      <name val="Cambria"/>
      <family val="2"/>
      <scheme val="major"/>
    </font>
    <font>
      <sz val="11"/>
      <color theme="1" tint="0.34998626667073579"/>
      <name val="Cambria"/>
      <family val="2"/>
      <scheme val="major"/>
    </font>
    <font>
      <sz val="14"/>
      <color theme="3" tint="0.34998626667073579"/>
      <name val="Calibri"/>
      <family val="2"/>
      <scheme val="minor"/>
    </font>
    <font>
      <i/>
      <sz val="11"/>
      <color theme="4" tint="-0.499984740745262"/>
      <name val="Calibri"/>
      <family val="2"/>
      <scheme val="minor"/>
    </font>
    <font>
      <sz val="14"/>
      <color theme="1" tint="0.34998626667073579"/>
      <name val="Cambria"/>
      <family val="2"/>
      <scheme val="major"/>
    </font>
    <font>
      <sz val="20"/>
      <color theme="1" tint="0.34998626667073579"/>
      <name val="Calibri"/>
      <family val="2"/>
      <scheme val="minor"/>
    </font>
    <font>
      <sz val="18"/>
      <color theme="1" tint="0.34998626667073579"/>
      <name val="Calibri"/>
      <family val="2"/>
      <scheme val="minor"/>
    </font>
    <font>
      <sz val="12"/>
      <color theme="1" tint="0.34998626667073579"/>
      <name val="Calibri"/>
      <family val="2"/>
      <scheme val="minor"/>
    </font>
    <font>
      <sz val="11"/>
      <color theme="1"/>
      <name val="Calibri"/>
      <family val="2"/>
      <scheme val="minor"/>
    </font>
    <font>
      <b/>
      <sz val="14"/>
      <color theme="1"/>
      <name val="Calibri"/>
      <family val="2"/>
      <scheme val="minor"/>
    </font>
    <font>
      <sz val="24"/>
      <color rgb="FF0070C0"/>
      <name val="Arial"/>
      <family val="2"/>
    </font>
    <font>
      <sz val="11"/>
      <color theme="1" tint="0.34998626667073579"/>
      <name val="Arial"/>
      <family val="2"/>
    </font>
    <font>
      <sz val="20"/>
      <color theme="1" tint="0.34998626667073579"/>
      <name val="Arial"/>
      <family val="2"/>
    </font>
    <font>
      <b/>
      <sz val="11"/>
      <color theme="0"/>
      <name val="Arial"/>
      <family val="2"/>
    </font>
    <font>
      <b/>
      <sz val="18"/>
      <name val="Arial"/>
      <family val="2"/>
    </font>
    <font>
      <sz val="14"/>
      <color theme="1" tint="0.34998626667073579"/>
      <name val="Arial"/>
      <family val="2"/>
    </font>
    <font>
      <sz val="12"/>
      <color theme="1" tint="0.34998626667073579"/>
      <name val="Arial"/>
      <family val="2"/>
    </font>
    <font>
      <sz val="14"/>
      <color theme="0" tint="-0.34998626667073579"/>
      <name val="Arial"/>
      <family val="2"/>
    </font>
    <font>
      <sz val="11"/>
      <color theme="1"/>
      <name val="Arial"/>
      <family val="2"/>
    </font>
    <font>
      <b/>
      <sz val="24"/>
      <name val="Arial"/>
      <family val="2"/>
    </font>
    <font>
      <sz val="24"/>
      <color theme="4" tint="-0.499984740745262"/>
      <name val="Arial"/>
      <family val="2"/>
    </font>
    <font>
      <sz val="14"/>
      <color theme="3" tint="0.34998626667073579"/>
      <name val="Arial"/>
      <family val="2"/>
    </font>
    <font>
      <b/>
      <i/>
      <sz val="12"/>
      <color rgb="FFFF0000"/>
      <name val="Arial"/>
      <family val="2"/>
    </font>
    <font>
      <i/>
      <sz val="11"/>
      <color theme="4" tint="-0.499984740745262"/>
      <name val="Arial"/>
      <family val="2"/>
    </font>
    <font>
      <sz val="11"/>
      <color theme="1" tint="0.499984740745262"/>
      <name val="Arial"/>
      <family val="2"/>
    </font>
    <font>
      <sz val="11"/>
      <color theme="4" tint="-0.249977111117893"/>
      <name val="Arial"/>
      <family val="2"/>
    </font>
    <font>
      <u/>
      <sz val="11"/>
      <color theme="1" tint="0.34998626667073579"/>
      <name val="Arial"/>
      <family val="2"/>
    </font>
    <font>
      <b/>
      <sz val="11"/>
      <color rgb="FFFF0000"/>
      <name val="Arial"/>
      <family val="2"/>
    </font>
    <font>
      <b/>
      <sz val="12"/>
      <name val="Arial"/>
      <family val="2"/>
    </font>
    <font>
      <b/>
      <sz val="10"/>
      <color theme="1"/>
      <name val="Arial"/>
      <family val="2"/>
    </font>
    <font>
      <b/>
      <u/>
      <sz val="18"/>
      <color theme="1"/>
      <name val="Calibri"/>
      <family val="2"/>
      <scheme val="minor"/>
    </font>
    <font>
      <b/>
      <sz val="18"/>
      <color theme="1"/>
      <name val="Calibri"/>
      <family val="2"/>
      <scheme val="minor"/>
    </font>
    <font>
      <b/>
      <i/>
      <sz val="18"/>
      <name val="Calibri"/>
      <family val="2"/>
      <scheme val="minor"/>
    </font>
    <font>
      <b/>
      <sz val="12"/>
      <color theme="0"/>
      <name val="Arial"/>
      <family val="2"/>
    </font>
    <font>
      <b/>
      <sz val="12"/>
      <color theme="1"/>
      <name val="Arial"/>
      <family val="2"/>
    </font>
    <font>
      <sz val="18"/>
      <name val="Arial"/>
      <family val="2"/>
    </font>
    <font>
      <sz val="11"/>
      <name val="Arial"/>
      <family val="2"/>
    </font>
    <font>
      <b/>
      <sz val="11"/>
      <name val="Arial"/>
      <family val="2"/>
    </font>
    <font>
      <b/>
      <sz val="10"/>
      <name val="Arial"/>
      <family val="2"/>
    </font>
    <font>
      <b/>
      <u/>
      <sz val="10"/>
      <name val="Arial"/>
      <family val="2"/>
    </font>
    <font>
      <b/>
      <sz val="11"/>
      <color theme="1" tint="0.34998626667073579"/>
      <name val="Arial"/>
      <family val="2"/>
    </font>
    <font>
      <sz val="12"/>
      <name val="Calibri"/>
      <family val="2"/>
      <scheme val="minor"/>
    </font>
    <font>
      <sz val="11"/>
      <color rgb="FFFF0000"/>
      <name val="Arial"/>
      <family val="2"/>
    </font>
    <font>
      <b/>
      <sz val="10"/>
      <color rgb="FF000000"/>
      <name val="Arial"/>
      <family val="2"/>
    </font>
    <font>
      <b/>
      <sz val="10"/>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rgb="FFFFFFFF"/>
        <bgColor rgb="FFFFFFFF"/>
      </patternFill>
    </fill>
    <fill>
      <patternFill patternType="solid">
        <fgColor theme="3" tint="0.79998168889431442"/>
        <bgColor indexed="64"/>
      </patternFill>
    </fill>
    <fill>
      <patternFill patternType="solid">
        <fgColor rgb="FFFFC00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FFCC"/>
        <bgColor indexed="64"/>
      </patternFill>
    </fill>
    <fill>
      <patternFill patternType="solid">
        <fgColor theme="4" tint="-0.499984740745262"/>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3" tint="0.59999389629810485"/>
        <bgColor indexed="64"/>
      </patternFill>
    </fill>
    <fill>
      <patternFill patternType="solid">
        <fgColor rgb="FFFFFF99"/>
        <bgColor indexed="64"/>
      </patternFill>
    </fill>
  </fills>
  <borders count="57">
    <border>
      <left/>
      <right/>
      <top/>
      <bottom/>
      <diagonal/>
    </border>
    <border>
      <left/>
      <right/>
      <top/>
      <bottom style="thin">
        <color indexed="64"/>
      </bottom>
      <diagonal/>
    </border>
    <border>
      <left/>
      <right/>
      <top style="thin">
        <color indexed="64"/>
      </top>
      <bottom style="double">
        <color indexed="64"/>
      </bottom>
      <diagonal/>
    </border>
    <border>
      <left/>
      <right/>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auto="1"/>
      </left>
      <right/>
      <top/>
      <bottom/>
      <diagonal/>
    </border>
    <border>
      <left/>
      <right style="dashed">
        <color auto="1"/>
      </right>
      <top/>
      <bottom/>
      <diagonal/>
    </border>
    <border>
      <left style="medium">
        <color auto="1"/>
      </left>
      <right style="medium">
        <color auto="1"/>
      </right>
      <top style="medium">
        <color auto="1"/>
      </top>
      <bottom style="medium">
        <color auto="1"/>
      </bottom>
      <diagonal/>
    </border>
    <border>
      <left/>
      <right/>
      <top/>
      <bottom style="thin">
        <color theme="0" tint="-0.14996795556505021"/>
      </bottom>
      <diagonal/>
    </border>
    <border>
      <left/>
      <right/>
      <top style="thin">
        <color theme="0" tint="-0.14996795556505021"/>
      </top>
      <bottom/>
      <diagonal/>
    </border>
    <border>
      <left/>
      <right/>
      <top style="thin">
        <color theme="0" tint="-0.14996795556505021"/>
      </top>
      <bottom style="thin">
        <color theme="0" tint="-0.14996795556505021"/>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top style="medium">
        <color theme="0" tint="-0.34998626667073579"/>
      </top>
      <bottom/>
      <diagonal/>
    </border>
    <border>
      <left/>
      <right/>
      <top style="medium">
        <color theme="1" tint="0.34998626667073579"/>
      </top>
      <bottom style="medium">
        <color theme="4" tint="-0.499984740745262"/>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right/>
      <top/>
      <bottom style="dashed">
        <color theme="1" tint="0.34998626667073579"/>
      </bottom>
      <diagonal/>
    </border>
    <border>
      <left style="medium">
        <color theme="1" tint="0.34998626667073579"/>
      </left>
      <right style="medium">
        <color theme="1" tint="0.34998626667073579"/>
      </right>
      <top/>
      <bottom style="dashed">
        <color theme="1" tint="0.34998626667073579"/>
      </bottom>
      <diagonal/>
    </border>
    <border>
      <left/>
      <right style="medium">
        <color theme="1" tint="0.34998626667073579"/>
      </right>
      <top/>
      <bottom/>
      <diagonal/>
    </border>
    <border>
      <left style="medium">
        <color theme="1" tint="0.34998626667073579"/>
      </left>
      <right/>
      <top/>
      <bottom style="dashed">
        <color theme="1" tint="0.34998626667073579"/>
      </bottom>
      <diagonal/>
    </border>
    <border>
      <left/>
      <right style="medium">
        <color theme="1" tint="0.34998626667073579"/>
      </right>
      <top/>
      <bottom style="dashed">
        <color theme="1" tint="0.34998626667073579"/>
      </bottom>
      <diagonal/>
    </border>
    <border>
      <left style="medium">
        <color theme="1" tint="0.34998626667073579"/>
      </left>
      <right style="medium">
        <color theme="1" tint="0.34998626667073579"/>
      </right>
      <top style="dashed">
        <color theme="1" tint="0.34998626667073579"/>
      </top>
      <bottom/>
      <diagonal/>
    </border>
    <border>
      <left style="medium">
        <color theme="1" tint="0.34998626667073579"/>
      </left>
      <right/>
      <top style="dashed">
        <color theme="1" tint="0.34998626667073579"/>
      </top>
      <bottom/>
      <diagonal/>
    </border>
    <border>
      <left/>
      <right/>
      <top style="dashed">
        <color theme="1" tint="0.34998626667073579"/>
      </top>
      <bottom/>
      <diagonal/>
    </border>
    <border>
      <left/>
      <right style="medium">
        <color theme="1" tint="0.34998626667073579"/>
      </right>
      <top style="dashed">
        <color theme="1" tint="0.34998626667073579"/>
      </top>
      <bottom/>
      <diagonal/>
    </border>
    <border>
      <left style="medium">
        <color theme="1" tint="0.34998626667073579"/>
      </left>
      <right style="medium">
        <color theme="1" tint="0.34998626667073579"/>
      </right>
      <top/>
      <bottom/>
      <diagonal/>
    </border>
    <border>
      <left style="medium">
        <color theme="1" tint="0.34998626667073579"/>
      </left>
      <right/>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right/>
      <top style="medium">
        <color theme="1" tint="0.34998626667073579"/>
      </top>
      <bottom style="thin">
        <color theme="0" tint="-0.14996795556505021"/>
      </bottom>
      <diagonal/>
    </border>
    <border>
      <left/>
      <right/>
      <top style="thin">
        <color theme="0" tint="-0.14996795556505021"/>
      </top>
      <bottom style="thin">
        <color theme="1" tint="0.34998626667073579"/>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3743705557422"/>
      </bottom>
      <diagonal/>
    </border>
    <border>
      <left/>
      <right/>
      <top/>
      <bottom style="thin">
        <color theme="0" tint="-0.14993743705557422"/>
      </bottom>
      <diagonal/>
    </border>
    <border>
      <left/>
      <right/>
      <top/>
      <bottom style="thin">
        <color theme="4" tint="0.39997558519241921"/>
      </bottom>
      <diagonal/>
    </border>
    <border>
      <left style="medium">
        <color auto="1"/>
      </left>
      <right/>
      <top/>
      <bottom style="dashed">
        <color auto="1"/>
      </bottom>
      <diagonal/>
    </border>
    <border>
      <left/>
      <right style="medium">
        <color auto="1"/>
      </right>
      <top/>
      <bottom style="dash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2">
    <xf numFmtId="0" fontId="0" fillId="0" borderId="0"/>
    <xf numFmtId="0" fontId="2" fillId="0" borderId="0"/>
    <xf numFmtId="0" fontId="3" fillId="0" borderId="0"/>
    <xf numFmtId="0" fontId="1"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4" fillId="0" borderId="0"/>
    <xf numFmtId="9" fontId="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43" fontId="5" fillId="0" borderId="0" applyFont="0" applyFill="0" applyBorder="0" applyAlignment="0" applyProtection="0"/>
    <xf numFmtId="0" fontId="3" fillId="0" borderId="0"/>
    <xf numFmtId="44"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2" fillId="0" borderId="0"/>
    <xf numFmtId="0" fontId="3" fillId="0" borderId="0"/>
    <xf numFmtId="0" fontId="2"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11" fillId="0" borderId="0"/>
    <xf numFmtId="43" fontId="2" fillId="0" borderId="0" applyFont="0" applyFill="0" applyBorder="0" applyAlignment="0" applyProtection="0"/>
    <xf numFmtId="0" fontId="1" fillId="0" borderId="0"/>
    <xf numFmtId="9" fontId="3" fillId="0" borderId="0" applyFont="0" applyFill="0" applyBorder="0" applyAlignment="0" applyProtection="0"/>
    <xf numFmtId="9" fontId="1" fillId="0" borderId="0" applyFont="0" applyFill="0" applyBorder="0" applyAlignment="0" applyProtection="0"/>
    <xf numFmtId="0" fontId="1" fillId="0" borderId="0"/>
    <xf numFmtId="43" fontId="22" fillId="0" borderId="0" applyFont="0" applyFill="0" applyBorder="0" applyAlignment="0" applyProtection="0"/>
    <xf numFmtId="0" fontId="3" fillId="0" borderId="0"/>
    <xf numFmtId="0" fontId="2" fillId="0" borderId="0"/>
    <xf numFmtId="0" fontId="3" fillId="0" borderId="0"/>
    <xf numFmtId="0" fontId="23" fillId="0" borderId="0"/>
    <xf numFmtId="43" fontId="2" fillId="0" borderId="0" applyFont="0" applyFill="0" applyBorder="0" applyAlignment="0" applyProtection="0"/>
    <xf numFmtId="0" fontId="24" fillId="0" borderId="0"/>
    <xf numFmtId="0" fontId="25" fillId="0" borderId="0"/>
    <xf numFmtId="0" fontId="5" fillId="0" borderId="0"/>
    <xf numFmtId="0" fontId="25" fillId="0" borderId="0"/>
    <xf numFmtId="0" fontId="33" fillId="0" borderId="0" applyNumberFormat="0" applyFill="0" applyBorder="0" applyAlignment="0" applyProtection="0"/>
    <xf numFmtId="0" fontId="34" fillId="0" borderId="0" applyFill="0" applyBorder="0">
      <alignment vertical="center" wrapText="1"/>
    </xf>
    <xf numFmtId="0" fontId="35" fillId="0" borderId="0" applyNumberFormat="0" applyFill="0" applyBorder="0" applyAlignment="0" applyProtection="0"/>
    <xf numFmtId="0" fontId="36" fillId="0" borderId="0" applyNumberFormat="0" applyFill="0" applyBorder="0" applyAlignment="0" applyProtection="0">
      <alignment vertical="center"/>
    </xf>
    <xf numFmtId="0" fontId="37" fillId="0" borderId="24" applyNumberFormat="0" applyFill="0" applyProtection="0">
      <alignment vertical="center"/>
    </xf>
    <xf numFmtId="0" fontId="39" fillId="0" borderId="0" applyNumberFormat="0" applyFill="0" applyBorder="0" applyAlignment="0" applyProtection="0"/>
    <xf numFmtId="0" fontId="32" fillId="13" borderId="0">
      <alignment horizontal="center" vertical="center"/>
    </xf>
    <xf numFmtId="5" fontId="38" fillId="0" borderId="32">
      <alignment horizontal="center" vertical="center"/>
    </xf>
    <xf numFmtId="9" fontId="40" fillId="0" borderId="0">
      <alignment horizontal="left" vertical="center" indent="1"/>
    </xf>
    <xf numFmtId="43" fontId="1" fillId="0" borderId="0" applyFont="0" applyFill="0" applyBorder="0" applyAlignment="0" applyProtection="0"/>
    <xf numFmtId="44" fontId="3" fillId="0" borderId="0" applyFont="0" applyFill="0" applyBorder="0" applyAlignment="0" applyProtection="0"/>
  </cellStyleXfs>
  <cellXfs count="434">
    <xf numFmtId="0" fontId="0" fillId="0" borderId="0" xfId="0"/>
    <xf numFmtId="0" fontId="0" fillId="0" borderId="0" xfId="0" applyBorder="1"/>
    <xf numFmtId="0" fontId="0" fillId="0" borderId="0" xfId="0" applyFill="1" applyBorder="1" applyAlignment="1">
      <alignment horizontal="right"/>
    </xf>
    <xf numFmtId="0" fontId="0" fillId="0" borderId="0" xfId="0" applyFill="1" applyBorder="1"/>
    <xf numFmtId="0" fontId="0" fillId="0" borderId="0" xfId="0" applyFill="1"/>
    <xf numFmtId="0" fontId="0" fillId="0" borderId="0" xfId="0" applyAlignment="1">
      <alignment horizontal="center" wrapText="1"/>
    </xf>
    <xf numFmtId="0" fontId="0" fillId="0" borderId="0" xfId="0" applyFont="1" applyFill="1" applyBorder="1" applyAlignment="1">
      <alignment horizontal="center" wrapText="1"/>
    </xf>
    <xf numFmtId="0" fontId="0" fillId="0" borderId="7" xfId="0" applyBorder="1" applyAlignment="1">
      <alignment horizontal="left"/>
    </xf>
    <xf numFmtId="164" fontId="14" fillId="0" borderId="0" xfId="0" applyNumberFormat="1" applyFont="1" applyFill="1" applyBorder="1" applyAlignment="1">
      <alignment horizontal="center"/>
    </xf>
    <xf numFmtId="164" fontId="16"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13" fillId="0" borderId="0" xfId="0" applyFont="1" applyFill="1" applyBorder="1" applyAlignment="1"/>
    <xf numFmtId="0" fontId="15" fillId="0" borderId="0" xfId="2" applyFont="1" applyFill="1" applyBorder="1" applyAlignment="1">
      <alignment horizontal="left"/>
    </xf>
    <xf numFmtId="0" fontId="15" fillId="0" borderId="0" xfId="13" applyFont="1" applyFill="1" applyAlignment="1">
      <alignment horizontal="center"/>
    </xf>
    <xf numFmtId="0" fontId="0" fillId="0" borderId="0" xfId="0" applyBorder="1" applyAlignment="1">
      <alignment horizontal="left" wrapText="1"/>
    </xf>
    <xf numFmtId="0" fontId="6" fillId="0" borderId="0" xfId="0" applyFont="1"/>
    <xf numFmtId="0" fontId="0" fillId="0" borderId="0" xfId="0" applyFont="1"/>
    <xf numFmtId="165" fontId="0" fillId="0" borderId="0" xfId="36" applyNumberFormat="1" applyFont="1"/>
    <xf numFmtId="0" fontId="0" fillId="0" borderId="0" xfId="0" applyBorder="1" applyAlignment="1">
      <alignment horizontal="right"/>
    </xf>
    <xf numFmtId="0" fontId="0" fillId="0" borderId="0" xfId="0" applyFill="1" applyBorder="1" applyAlignment="1">
      <alignment horizontal="left"/>
    </xf>
    <xf numFmtId="0" fontId="15" fillId="0" borderId="0" xfId="0" applyFont="1" applyFill="1" applyBorder="1" applyAlignment="1">
      <alignment horizontal="left"/>
    </xf>
    <xf numFmtId="0" fontId="13" fillId="0" borderId="0" xfId="0" applyFont="1" applyFill="1" applyBorder="1" applyAlignment="1">
      <alignment horizontal="left"/>
    </xf>
    <xf numFmtId="0" fontId="0" fillId="0" borderId="0" xfId="0" applyFill="1" applyBorder="1" applyAlignment="1">
      <alignment horizontal="left" vertical="top"/>
    </xf>
    <xf numFmtId="0" fontId="0" fillId="0" borderId="0" xfId="0" applyFill="1" applyBorder="1" applyAlignment="1">
      <alignment horizontal="left" wrapText="1"/>
    </xf>
    <xf numFmtId="0" fontId="15" fillId="0" borderId="0" xfId="0" applyFont="1" applyFill="1" applyBorder="1" applyAlignment="1">
      <alignment horizontal="left" wrapText="1"/>
    </xf>
    <xf numFmtId="0" fontId="6" fillId="0" borderId="0" xfId="0" applyFont="1" applyAlignment="1">
      <alignment horizontal="right"/>
    </xf>
    <xf numFmtId="164" fontId="0" fillId="0" borderId="0" xfId="12" applyNumberFormat="1" applyFont="1" applyAlignment="1">
      <alignment horizontal="center"/>
    </xf>
    <xf numFmtId="164" fontId="6" fillId="0" borderId="2" xfId="12" applyNumberFormat="1" applyFont="1" applyBorder="1" applyAlignment="1">
      <alignment horizontal="center"/>
    </xf>
    <xf numFmtId="3" fontId="6" fillId="0" borderId="2" xfId="0" applyNumberFormat="1" applyFont="1" applyBorder="1" applyAlignment="1">
      <alignment horizontal="center"/>
    </xf>
    <xf numFmtId="0" fontId="6" fillId="0" borderId="0" xfId="0" applyFont="1" applyAlignment="1">
      <alignment horizontal="center"/>
    </xf>
    <xf numFmtId="0" fontId="6" fillId="5" borderId="0" xfId="0" applyFont="1" applyFill="1" applyAlignment="1">
      <alignment horizontal="center"/>
    </xf>
    <xf numFmtId="0" fontId="6" fillId="7" borderId="0" xfId="0" applyFont="1" applyFill="1"/>
    <xf numFmtId="0" fontId="0" fillId="0" borderId="0" xfId="0" applyFont="1" applyAlignment="1">
      <alignment horizontal="center"/>
    </xf>
    <xf numFmtId="164" fontId="0" fillId="0" borderId="0" xfId="0" applyNumberFormat="1" applyFont="1"/>
    <xf numFmtId="41" fontId="15" fillId="0" borderId="0" xfId="2" applyNumberFormat="1" applyFont="1" applyFill="1" applyAlignment="1">
      <alignment horizontal="right"/>
    </xf>
    <xf numFmtId="41" fontId="21" fillId="0" borderId="2" xfId="2" applyNumberFormat="1" applyFont="1" applyFill="1" applyBorder="1" applyAlignment="1">
      <alignment horizontal="right"/>
    </xf>
    <xf numFmtId="41" fontId="10" fillId="0" borderId="0" xfId="2" applyNumberFormat="1" applyFont="1" applyFill="1" applyAlignment="1">
      <alignment horizontal="right"/>
    </xf>
    <xf numFmtId="0" fontId="6" fillId="0" borderId="0" xfId="0" applyFont="1" applyFill="1"/>
    <xf numFmtId="0" fontId="6" fillId="6" borderId="0" xfId="0" applyFont="1" applyFill="1"/>
    <xf numFmtId="49" fontId="20" fillId="3" borderId="3" xfId="21" applyNumberFormat="1" applyFont="1" applyFill="1" applyBorder="1" applyAlignment="1">
      <alignment horizontal="center" wrapText="1"/>
    </xf>
    <xf numFmtId="0" fontId="6" fillId="0" borderId="0" xfId="0" applyFont="1" applyAlignment="1">
      <alignment horizontal="center" wrapText="1"/>
    </xf>
    <xf numFmtId="0" fontId="6" fillId="0" borderId="0" xfId="0" applyFont="1" applyAlignment="1">
      <alignment wrapText="1"/>
    </xf>
    <xf numFmtId="0" fontId="6" fillId="0" borderId="0" xfId="0" applyFont="1" applyAlignment="1">
      <alignment horizontal="left"/>
    </xf>
    <xf numFmtId="3" fontId="0" fillId="0" borderId="0" xfId="0" applyNumberFormat="1" applyFont="1" applyAlignment="1">
      <alignment horizontal="center"/>
    </xf>
    <xf numFmtId="0" fontId="0" fillId="2" borderId="0" xfId="0" applyFont="1" applyFill="1"/>
    <xf numFmtId="0" fontId="6" fillId="2" borderId="0" xfId="0" applyFont="1" applyFill="1"/>
    <xf numFmtId="0" fontId="21" fillId="2" borderId="0" xfId="0" applyFont="1" applyFill="1"/>
    <xf numFmtId="0" fontId="6" fillId="8" borderId="0" xfId="0" applyFont="1" applyFill="1"/>
    <xf numFmtId="0" fontId="21" fillId="8" borderId="0" xfId="0" applyFont="1" applyFill="1"/>
    <xf numFmtId="0" fontId="0" fillId="8" borderId="0" xfId="0" applyFont="1" applyFill="1"/>
    <xf numFmtId="0" fontId="19" fillId="2" borderId="0" xfId="0" applyFont="1" applyFill="1" applyAlignment="1">
      <alignment horizontal="center"/>
    </xf>
    <xf numFmtId="0" fontId="0" fillId="0" borderId="0" xfId="0" applyBorder="1" applyAlignment="1">
      <alignment horizontal="center" wrapText="1"/>
    </xf>
    <xf numFmtId="0" fontId="13" fillId="0" borderId="0" xfId="0" applyFont="1" applyFill="1" applyBorder="1" applyAlignment="1">
      <alignment horizontal="left" indent="1"/>
    </xf>
    <xf numFmtId="0" fontId="0" fillId="0" borderId="0" xfId="0" applyFill="1" applyBorder="1" applyAlignment="1">
      <alignment vertical="top"/>
    </xf>
    <xf numFmtId="0" fontId="26" fillId="0" borderId="0" xfId="0" applyFont="1" applyAlignment="1">
      <alignment horizontal="center"/>
    </xf>
    <xf numFmtId="0" fontId="6" fillId="9" borderId="0" xfId="0" applyFont="1" applyFill="1"/>
    <xf numFmtId="0" fontId="15" fillId="9" borderId="0" xfId="0" applyFont="1" applyFill="1" applyAlignment="1">
      <alignment horizontal="center"/>
    </xf>
    <xf numFmtId="0" fontId="21" fillId="9" borderId="0" xfId="0" applyFont="1" applyFill="1"/>
    <xf numFmtId="0" fontId="0" fillId="0" borderId="0" xfId="0" applyBorder="1" applyAlignment="1">
      <alignment vertical="top"/>
    </xf>
    <xf numFmtId="0" fontId="13" fillId="0" borderId="0" xfId="0" applyFont="1" applyFill="1" applyBorder="1" applyAlignment="1">
      <alignment horizontal="left" vertical="top"/>
    </xf>
    <xf numFmtId="0" fontId="0" fillId="0" borderId="0" xfId="0" applyFill="1" applyBorder="1" applyAlignment="1">
      <alignment horizontal="left" vertical="top" wrapText="1"/>
    </xf>
    <xf numFmtId="0" fontId="13" fillId="0" borderId="0" xfId="0" applyFont="1" applyFill="1" applyBorder="1" applyAlignment="1">
      <alignment vertical="top"/>
    </xf>
    <xf numFmtId="0" fontId="0" fillId="0" borderId="0" xfId="0" quotePrefix="1" applyFill="1" applyBorder="1" applyAlignment="1">
      <alignment horizontal="left" vertical="top"/>
    </xf>
    <xf numFmtId="0" fontId="0" fillId="0" borderId="0" xfId="0" applyAlignment="1">
      <alignment vertical="top"/>
    </xf>
    <xf numFmtId="0" fontId="0" fillId="0" borderId="0" xfId="0" applyFill="1" applyBorder="1" applyAlignment="1">
      <alignment horizontal="left" vertical="top" wrapText="1" indent="2"/>
    </xf>
    <xf numFmtId="0" fontId="0" fillId="0" borderId="0" xfId="0" applyFill="1" applyBorder="1" applyAlignment="1">
      <alignment horizontal="left" vertical="top" indent="2"/>
    </xf>
    <xf numFmtId="0" fontId="0" fillId="0" borderId="0" xfId="0" applyBorder="1" applyAlignment="1">
      <alignment horizontal="left"/>
    </xf>
    <xf numFmtId="0" fontId="6" fillId="4" borderId="0" xfId="0" applyFont="1" applyFill="1" applyAlignment="1">
      <alignment horizontal="center"/>
    </xf>
    <xf numFmtId="0" fontId="6" fillId="10" borderId="0" xfId="0" applyFont="1" applyFill="1"/>
    <xf numFmtId="0" fontId="15" fillId="0" borderId="0" xfId="0" applyFont="1" applyFill="1"/>
    <xf numFmtId="0" fontId="6" fillId="11" borderId="0" xfId="0" applyFont="1" applyFill="1"/>
    <xf numFmtId="0" fontId="21" fillId="0" borderId="0" xfId="0" applyFont="1" applyFill="1"/>
    <xf numFmtId="0" fontId="21" fillId="0" borderId="0" xfId="0" applyFont="1" applyFill="1" applyAlignment="1">
      <alignment horizontal="center" wrapText="1"/>
    </xf>
    <xf numFmtId="0" fontId="15" fillId="0" borderId="0" xfId="0" applyFont="1" applyFill="1" applyAlignment="1">
      <alignment horizontal="center"/>
    </xf>
    <xf numFmtId="3" fontId="21" fillId="0" borderId="2" xfId="0" applyNumberFormat="1" applyFont="1" applyFill="1" applyBorder="1" applyAlignment="1">
      <alignment horizontal="center"/>
    </xf>
    <xf numFmtId="0" fontId="21" fillId="5" borderId="0" xfId="0" applyFont="1" applyFill="1" applyAlignment="1">
      <alignment horizontal="center"/>
    </xf>
    <xf numFmtId="0" fontId="21" fillId="4" borderId="0" xfId="0" applyFont="1" applyFill="1" applyAlignment="1">
      <alignment horizontal="center"/>
    </xf>
    <xf numFmtId="0" fontId="21" fillId="0" borderId="0" xfId="0" applyFont="1"/>
    <xf numFmtId="0" fontId="21" fillId="0" borderId="0" xfId="0" applyFont="1" applyAlignment="1">
      <alignment horizontal="center" wrapText="1"/>
    </xf>
    <xf numFmtId="0" fontId="15" fillId="0" borderId="0" xfId="0" applyFont="1"/>
    <xf numFmtId="3" fontId="21" fillId="0" borderId="2" xfId="0" applyNumberFormat="1" applyFont="1" applyBorder="1" applyAlignment="1">
      <alignment horizontal="center"/>
    </xf>
    <xf numFmtId="0" fontId="1" fillId="0" borderId="0" xfId="13" applyFont="1" applyFill="1" applyAlignment="1">
      <alignment horizontal="center"/>
    </xf>
    <xf numFmtId="164" fontId="10" fillId="0" borderId="0" xfId="12" applyNumberFormat="1" applyFont="1" applyAlignment="1">
      <alignment horizontal="center"/>
    </xf>
    <xf numFmtId="164" fontId="10" fillId="0" borderId="2" xfId="12" applyNumberFormat="1" applyFont="1" applyBorder="1" applyAlignment="1">
      <alignment horizontal="center"/>
    </xf>
    <xf numFmtId="164" fontId="10" fillId="0" borderId="0" xfId="0" applyNumberFormat="1" applyFont="1"/>
    <xf numFmtId="41" fontId="1" fillId="0" borderId="0" xfId="2" applyNumberFormat="1" applyFont="1" applyFill="1" applyAlignment="1">
      <alignment horizontal="right"/>
    </xf>
    <xf numFmtId="0" fontId="9" fillId="0" borderId="0" xfId="0" applyFont="1" applyBorder="1" applyAlignment="1">
      <alignment horizontal="center"/>
    </xf>
    <xf numFmtId="0" fontId="9" fillId="0" borderId="8" xfId="0" applyFont="1" applyBorder="1" applyAlignment="1">
      <alignment horizontal="center"/>
    </xf>
    <xf numFmtId="41" fontId="10" fillId="2" borderId="2" xfId="2" applyNumberFormat="1" applyFont="1" applyFill="1" applyBorder="1" applyAlignment="1">
      <alignment horizontal="right"/>
    </xf>
    <xf numFmtId="41" fontId="10" fillId="2" borderId="0" xfId="2" applyNumberFormat="1" applyFont="1" applyFill="1" applyAlignment="1">
      <alignment horizontal="right"/>
    </xf>
    <xf numFmtId="0" fontId="10" fillId="2" borderId="0" xfId="0" applyFont="1" applyFill="1"/>
    <xf numFmtId="0" fontId="6" fillId="5" borderId="1" xfId="0" applyFont="1" applyFill="1" applyBorder="1" applyAlignment="1">
      <alignment horizontal="left"/>
    </xf>
    <xf numFmtId="0" fontId="6" fillId="0" borderId="0" xfId="0" applyFont="1" applyFill="1" applyAlignment="1">
      <alignment horizontal="center"/>
    </xf>
    <xf numFmtId="0" fontId="6" fillId="0" borderId="0" xfId="0" applyFont="1" applyFill="1" applyAlignment="1">
      <alignment horizontal="center" wrapText="1"/>
    </xf>
    <xf numFmtId="0" fontId="10" fillId="0" borderId="0" xfId="0" applyFont="1" applyFill="1"/>
    <xf numFmtId="41" fontId="10" fillId="0" borderId="0" xfId="2" applyNumberFormat="1" applyFont="1" applyFill="1" applyBorder="1" applyAlignment="1">
      <alignment horizontal="right"/>
    </xf>
    <xf numFmtId="3" fontId="10" fillId="2" borderId="2" xfId="0" applyNumberFormat="1" applyFont="1" applyFill="1" applyBorder="1" applyAlignment="1">
      <alignment horizontal="center"/>
    </xf>
    <xf numFmtId="0" fontId="10" fillId="2" borderId="0" xfId="0" applyFont="1" applyFill="1" applyAlignment="1">
      <alignment horizontal="center"/>
    </xf>
    <xf numFmtId="3" fontId="10" fillId="2" borderId="0" xfId="0" applyNumberFormat="1" applyFont="1" applyFill="1" applyAlignment="1">
      <alignment horizontal="center"/>
    </xf>
    <xf numFmtId="3" fontId="15" fillId="0" borderId="0" xfId="0" applyNumberFormat="1" applyFont="1" applyFill="1" applyAlignment="1">
      <alignment horizontal="center"/>
    </xf>
    <xf numFmtId="165" fontId="10" fillId="2" borderId="0" xfId="36" applyNumberFormat="1" applyFont="1" applyFill="1"/>
    <xf numFmtId="164" fontId="10" fillId="0" borderId="0" xfId="12" applyNumberFormat="1" applyFont="1" applyFill="1" applyAlignment="1">
      <alignment horizontal="center"/>
    </xf>
    <xf numFmtId="164" fontId="10" fillId="0" borderId="0" xfId="0" applyNumberFormat="1" applyFont="1" applyFill="1"/>
    <xf numFmtId="164" fontId="10" fillId="0" borderId="2" xfId="12" applyNumberFormat="1" applyFont="1" applyFill="1" applyBorder="1" applyAlignment="1">
      <alignment horizontal="center"/>
    </xf>
    <xf numFmtId="0" fontId="6" fillId="0" borderId="1" xfId="0" applyFont="1" applyBorder="1" applyAlignment="1">
      <alignment horizontal="center" wrapText="1"/>
    </xf>
    <xf numFmtId="0" fontId="18" fillId="0" borderId="0" xfId="0" applyFont="1"/>
    <xf numFmtId="0" fontId="18" fillId="0" borderId="7" xfId="0" applyFont="1" applyBorder="1"/>
    <xf numFmtId="0" fontId="31" fillId="0" borderId="7" xfId="0" quotePrefix="1" applyFont="1" applyBorder="1" applyAlignment="1">
      <alignment horizontal="left"/>
    </xf>
    <xf numFmtId="166" fontId="9" fillId="0" borderId="0" xfId="0" applyNumberFormat="1" applyFont="1" applyBorder="1" applyAlignment="1">
      <alignment horizontal="center" vertical="center"/>
    </xf>
    <xf numFmtId="0" fontId="9" fillId="0" borderId="13" xfId="0" applyFont="1" applyBorder="1" applyAlignment="1">
      <alignment horizontal="center"/>
    </xf>
    <xf numFmtId="0" fontId="18" fillId="0" borderId="7" xfId="0" applyFont="1" applyBorder="1" applyAlignment="1">
      <alignment horizontal="left" wrapText="1" indent="1"/>
    </xf>
    <xf numFmtId="3" fontId="18" fillId="0" borderId="0" xfId="0" applyNumberFormat="1" applyFont="1" applyBorder="1" applyAlignment="1">
      <alignment horizontal="center" vertical="center"/>
    </xf>
    <xf numFmtId="0" fontId="18" fillId="0" borderId="13" xfId="0" applyFont="1" applyBorder="1"/>
    <xf numFmtId="0" fontId="18" fillId="0" borderId="8" xfId="0" applyFont="1" applyBorder="1"/>
    <xf numFmtId="0" fontId="18" fillId="0" borderId="7" xfId="0" applyFont="1" applyBorder="1" applyAlignment="1">
      <alignment horizontal="left" indent="1"/>
    </xf>
    <xf numFmtId="164" fontId="28" fillId="0" borderId="13" xfId="12" applyNumberFormat="1" applyFont="1" applyBorder="1" applyAlignment="1">
      <alignment horizontal="center" vertical="center"/>
    </xf>
    <xf numFmtId="164" fontId="28" fillId="0" borderId="8" xfId="12" applyNumberFormat="1" applyFont="1" applyBorder="1" applyAlignment="1">
      <alignment horizontal="center" vertical="center"/>
    </xf>
    <xf numFmtId="0" fontId="18" fillId="0" borderId="7" xfId="0" applyFont="1" applyBorder="1" applyAlignment="1">
      <alignment horizontal="left"/>
    </xf>
    <xf numFmtId="0" fontId="18" fillId="0" borderId="0" xfId="0" applyFont="1" applyBorder="1" applyAlignment="1">
      <alignment horizontal="center" vertical="center"/>
    </xf>
    <xf numFmtId="164" fontId="18" fillId="0" borderId="13" xfId="0" applyNumberFormat="1" applyFont="1" applyBorder="1" applyAlignment="1">
      <alignment horizontal="center" vertical="center"/>
    </xf>
    <xf numFmtId="0" fontId="18" fillId="0" borderId="0" xfId="0" applyFont="1" applyBorder="1" applyAlignment="1">
      <alignment horizontal="center"/>
    </xf>
    <xf numFmtId="164" fontId="18" fillId="0" borderId="8" xfId="0" applyNumberFormat="1" applyFont="1" applyBorder="1" applyAlignment="1">
      <alignment horizontal="center" vertical="center"/>
    </xf>
    <xf numFmtId="0" fontId="28" fillId="0" borderId="7" xfId="0" applyFont="1" applyBorder="1"/>
    <xf numFmtId="166" fontId="18" fillId="0" borderId="13" xfId="0" applyNumberFormat="1" applyFont="1" applyFill="1" applyBorder="1" applyAlignment="1">
      <alignment horizontal="center" vertical="center"/>
    </xf>
    <xf numFmtId="9" fontId="18" fillId="0" borderId="0" xfId="0" applyNumberFormat="1" applyFont="1"/>
    <xf numFmtId="9" fontId="18" fillId="0" borderId="0" xfId="12" applyFont="1"/>
    <xf numFmtId="0" fontId="18" fillId="0" borderId="9" xfId="0" applyFont="1" applyBorder="1" applyAlignment="1">
      <alignment horizontal="right"/>
    </xf>
    <xf numFmtId="0" fontId="18" fillId="0" borderId="10" xfId="0" applyFont="1" applyBorder="1"/>
    <xf numFmtId="0" fontId="18" fillId="0" borderId="11" xfId="0" applyFont="1" applyBorder="1"/>
    <xf numFmtId="0" fontId="18" fillId="0" borderId="0" xfId="0" applyFont="1" applyBorder="1" applyAlignment="1">
      <alignment horizontal="right"/>
    </xf>
    <xf numFmtId="0" fontId="18" fillId="0" borderId="0" xfId="0" applyFont="1" applyBorder="1"/>
    <xf numFmtId="0" fontId="9" fillId="0" borderId="12" xfId="0" applyFont="1" applyBorder="1" applyAlignment="1">
      <alignment horizontal="center"/>
    </xf>
    <xf numFmtId="0" fontId="18" fillId="0" borderId="12" xfId="0" applyFont="1" applyBorder="1"/>
    <xf numFmtId="164" fontId="18" fillId="0" borderId="13" xfId="12" applyNumberFormat="1" applyFont="1" applyBorder="1" applyAlignment="1">
      <alignment horizontal="center" vertical="center"/>
    </xf>
    <xf numFmtId="164" fontId="18" fillId="0" borderId="8" xfId="12" applyNumberFormat="1" applyFont="1" applyBorder="1" applyAlignment="1">
      <alignment horizontal="center" vertical="center"/>
    </xf>
    <xf numFmtId="0" fontId="18" fillId="0" borderId="7" xfId="0" applyFont="1" applyBorder="1" applyAlignment="1">
      <alignment horizontal="center"/>
    </xf>
    <xf numFmtId="0" fontId="28" fillId="0" borderId="7" xfId="0" quotePrefix="1" applyFont="1" applyBorder="1" applyAlignment="1">
      <alignment horizontal="left"/>
    </xf>
    <xf numFmtId="9" fontId="18" fillId="0" borderId="13" xfId="12" applyNumberFormat="1" applyFont="1" applyBorder="1"/>
    <xf numFmtId="3" fontId="18" fillId="0" borderId="12" xfId="0" applyNumberFormat="1" applyFont="1" applyBorder="1" applyAlignment="1">
      <alignment horizontal="center" vertical="center"/>
    </xf>
    <xf numFmtId="9" fontId="18" fillId="0" borderId="8" xfId="12" applyNumberFormat="1" applyFont="1" applyBorder="1"/>
    <xf numFmtId="0" fontId="18" fillId="0" borderId="13" xfId="0" applyFont="1" applyBorder="1" applyAlignment="1">
      <alignment horizontal="right" vertical="center"/>
    </xf>
    <xf numFmtId="0" fontId="18" fillId="0" borderId="7" xfId="0" applyFont="1" applyBorder="1" applyAlignment="1">
      <alignment horizontal="left" wrapText="1" indent="2"/>
    </xf>
    <xf numFmtId="164" fontId="18" fillId="0" borderId="12" xfId="12" applyNumberFormat="1" applyFont="1" applyBorder="1" applyAlignment="1">
      <alignment horizontal="center" vertical="center"/>
    </xf>
    <xf numFmtId="164" fontId="18" fillId="0" borderId="0" xfId="12" applyNumberFormat="1" applyFont="1" applyBorder="1" applyAlignment="1">
      <alignment horizontal="center" vertical="center"/>
    </xf>
    <xf numFmtId="0" fontId="28" fillId="0" borderId="7" xfId="0" quotePrefix="1" applyFont="1" applyFill="1" applyBorder="1" applyAlignment="1">
      <alignment horizontal="left"/>
    </xf>
    <xf numFmtId="0" fontId="18" fillId="0" borderId="13" xfId="0" applyFont="1" applyFill="1" applyBorder="1" applyAlignment="1">
      <alignment horizontal="left"/>
    </xf>
    <xf numFmtId="0" fontId="18" fillId="0" borderId="12" xfId="0" applyFont="1" applyFill="1" applyBorder="1" applyAlignment="1">
      <alignment horizontal="left"/>
    </xf>
    <xf numFmtId="0" fontId="18" fillId="0" borderId="0" xfId="0" applyFont="1" applyFill="1" applyBorder="1" applyAlignment="1">
      <alignment horizontal="left"/>
    </xf>
    <xf numFmtId="5" fontId="18" fillId="0" borderId="13" xfId="11" applyNumberFormat="1" applyFont="1" applyBorder="1" applyAlignment="1">
      <alignment horizontal="center" vertical="center"/>
    </xf>
    <xf numFmtId="0" fontId="18" fillId="0" borderId="10" xfId="0" applyFont="1" applyBorder="1" applyAlignment="1">
      <alignment horizontal="center"/>
    </xf>
    <xf numFmtId="0" fontId="9" fillId="0" borderId="7" xfId="0" applyFont="1" applyBorder="1" applyAlignment="1">
      <alignment horizontal="center"/>
    </xf>
    <xf numFmtId="0" fontId="18" fillId="0" borderId="7" xfId="0" quotePrefix="1" applyFont="1" applyBorder="1" applyAlignment="1">
      <alignment horizontal="left" indent="1"/>
    </xf>
    <xf numFmtId="0" fontId="27" fillId="12" borderId="7" xfId="0" applyFont="1" applyFill="1" applyBorder="1" applyAlignment="1">
      <alignment horizontal="left"/>
    </xf>
    <xf numFmtId="166" fontId="9" fillId="0" borderId="12" xfId="0" applyNumberFormat="1" applyFont="1" applyBorder="1" applyAlignment="1">
      <alignment horizontal="center" vertical="center"/>
    </xf>
    <xf numFmtId="0" fontId="18" fillId="0" borderId="12" xfId="0" applyFont="1" applyBorder="1" applyAlignment="1">
      <alignment horizontal="center" vertical="center"/>
    </xf>
    <xf numFmtId="0" fontId="0" fillId="0" borderId="0" xfId="0" applyAlignment="1">
      <alignment horizontal="center"/>
    </xf>
    <xf numFmtId="165" fontId="0" fillId="0" borderId="0" xfId="36" applyNumberFormat="1" applyFont="1" applyAlignment="1">
      <alignment horizontal="center"/>
    </xf>
    <xf numFmtId="165" fontId="10" fillId="2" borderId="0" xfId="36" applyNumberFormat="1" applyFont="1" applyFill="1" applyAlignment="1">
      <alignment horizontal="center"/>
    </xf>
    <xf numFmtId="0" fontId="18" fillId="0" borderId="7" xfId="0" quotePrefix="1" applyFont="1" applyFill="1" applyBorder="1" applyAlignment="1">
      <alignment horizontal="left" indent="1"/>
    </xf>
    <xf numFmtId="9" fontId="6" fillId="9" borderId="0" xfId="0" applyNumberFormat="1" applyFont="1" applyFill="1"/>
    <xf numFmtId="9" fontId="15" fillId="9" borderId="0" xfId="0" applyNumberFormat="1" applyFont="1" applyFill="1" applyAlignment="1">
      <alignment horizontal="center"/>
    </xf>
    <xf numFmtId="9" fontId="6" fillId="0" borderId="1" xfId="0" applyNumberFormat="1" applyFont="1" applyBorder="1" applyAlignment="1">
      <alignment horizontal="center" wrapText="1"/>
    </xf>
    <xf numFmtId="9" fontId="0" fillId="0" borderId="0" xfId="12" applyNumberFormat="1" applyFont="1" applyAlignment="1">
      <alignment horizontal="center"/>
    </xf>
    <xf numFmtId="9" fontId="0" fillId="0" borderId="0" xfId="0" applyNumberFormat="1" applyFont="1" applyAlignment="1">
      <alignment horizontal="center"/>
    </xf>
    <xf numFmtId="9" fontId="6" fillId="0" borderId="2" xfId="12" applyNumberFormat="1" applyFont="1" applyBorder="1" applyAlignment="1">
      <alignment horizontal="center"/>
    </xf>
    <xf numFmtId="9" fontId="0" fillId="0" borderId="0" xfId="0" applyNumberFormat="1"/>
    <xf numFmtId="9" fontId="10" fillId="2" borderId="2" xfId="12" applyNumberFormat="1" applyFont="1" applyFill="1" applyBorder="1" applyAlignment="1">
      <alignment horizontal="center"/>
    </xf>
    <xf numFmtId="0" fontId="41" fillId="0" borderId="0" xfId="0" applyFont="1"/>
    <xf numFmtId="0" fontId="42" fillId="0" borderId="0" xfId="0" applyFont="1"/>
    <xf numFmtId="0" fontId="19" fillId="2" borderId="0" xfId="0" quotePrefix="1" applyFont="1" applyFill="1"/>
    <xf numFmtId="0" fontId="44" fillId="0" borderId="0" xfId="42" applyFont="1" applyProtection="1">
      <alignment vertical="center" wrapText="1"/>
      <protection locked="0"/>
    </xf>
    <xf numFmtId="0" fontId="44" fillId="0" borderId="0" xfId="42" applyFont="1">
      <alignment vertical="center" wrapText="1"/>
    </xf>
    <xf numFmtId="0" fontId="48" fillId="0" borderId="26" xfId="45" applyFont="1" applyBorder="1" applyProtection="1">
      <alignment vertical="center"/>
      <protection locked="0"/>
    </xf>
    <xf numFmtId="0" fontId="48" fillId="0" borderId="0" xfId="45" applyFont="1" applyBorder="1" applyProtection="1">
      <alignment vertical="center"/>
      <protection locked="0"/>
    </xf>
    <xf numFmtId="0" fontId="44" fillId="0" borderId="0" xfId="42" applyFont="1" applyBorder="1">
      <alignment vertical="center" wrapText="1"/>
    </xf>
    <xf numFmtId="5" fontId="45" fillId="0" borderId="34" xfId="48" applyFont="1" applyBorder="1" applyProtection="1">
      <alignment horizontal="center" vertical="center"/>
      <protection locked="0"/>
    </xf>
    <xf numFmtId="0" fontId="44" fillId="0" borderId="0" xfId="42" applyFont="1" applyBorder="1" applyProtection="1">
      <alignment vertical="center" wrapText="1"/>
      <protection locked="0"/>
    </xf>
    <xf numFmtId="9" fontId="49" fillId="0" borderId="37" xfId="12" applyNumberFormat="1" applyFont="1" applyBorder="1" applyAlignment="1" applyProtection="1">
      <alignment horizontal="left" vertical="center" indent="2"/>
    </xf>
    <xf numFmtId="9" fontId="50" fillId="0" borderId="0" xfId="12" applyNumberFormat="1" applyFont="1" applyAlignment="1" applyProtection="1">
      <alignment horizontal="left" vertical="center" indent="1"/>
      <protection locked="0"/>
    </xf>
    <xf numFmtId="9" fontId="49" fillId="0" borderId="37" xfId="49" applyFont="1" applyBorder="1" applyAlignment="1" applyProtection="1">
      <alignment horizontal="left" vertical="center" indent="2"/>
    </xf>
    <xf numFmtId="9" fontId="51" fillId="0" borderId="0" xfId="42" applyNumberFormat="1" applyFont="1" applyAlignment="1" applyProtection="1">
      <alignment horizontal="left" vertical="center" indent="1"/>
      <protection locked="0"/>
    </xf>
    <xf numFmtId="9" fontId="51" fillId="0" borderId="0" xfId="42" applyNumberFormat="1" applyFont="1" applyBorder="1" applyAlignment="1" applyProtection="1">
      <alignment horizontal="left" vertical="center" indent="1"/>
      <protection locked="0"/>
    </xf>
    <xf numFmtId="0" fontId="44" fillId="0" borderId="0" xfId="42" applyFont="1" applyAlignment="1">
      <alignment horizontal="left" vertical="center" indent="1"/>
    </xf>
    <xf numFmtId="0" fontId="44" fillId="0" borderId="0" xfId="42" applyFont="1" applyAlignment="1">
      <alignment horizontal="center" vertical="center"/>
    </xf>
    <xf numFmtId="0" fontId="44" fillId="0" borderId="41" xfId="42" applyFont="1" applyBorder="1" applyAlignment="1" applyProtection="1">
      <protection locked="0"/>
    </xf>
    <xf numFmtId="0" fontId="44" fillId="0" borderId="0" xfId="42" applyFont="1" applyAlignment="1" applyProtection="1">
      <alignment horizontal="left" indent="1"/>
      <protection locked="0"/>
    </xf>
    <xf numFmtId="0" fontId="44" fillId="0" borderId="0" xfId="42" applyFont="1" applyAlignment="1">
      <alignment horizontal="left" indent="1"/>
    </xf>
    <xf numFmtId="0" fontId="44" fillId="0" borderId="43" xfId="42" applyFont="1" applyBorder="1" applyProtection="1">
      <alignment vertical="center" wrapText="1"/>
      <protection locked="0"/>
    </xf>
    <xf numFmtId="0" fontId="43" fillId="0" borderId="0" xfId="41" applyFont="1" applyAlignment="1" applyProtection="1">
      <alignment horizontal="left"/>
      <protection locked="0"/>
    </xf>
    <xf numFmtId="0" fontId="52" fillId="0" borderId="0" xfId="41" applyFont="1" applyAlignment="1" applyProtection="1">
      <alignment horizontal="left"/>
      <protection locked="0"/>
    </xf>
    <xf numFmtId="0" fontId="55" fillId="0" borderId="0" xfId="44" applyFont="1" applyAlignment="1" applyProtection="1">
      <alignment horizontal="left" vertical="center"/>
      <protection locked="0"/>
    </xf>
    <xf numFmtId="0" fontId="54" fillId="0" borderId="0" xfId="43" applyFont="1" applyAlignment="1">
      <alignment vertical="center"/>
    </xf>
    <xf numFmtId="0" fontId="46" fillId="13" borderId="16" xfId="42" applyFont="1" applyFill="1" applyBorder="1" applyAlignment="1" applyProtection="1">
      <alignment horizontal="left" vertical="center" indent="1"/>
      <protection locked="0"/>
    </xf>
    <xf numFmtId="0" fontId="44" fillId="0" borderId="0" xfId="42" applyFont="1" applyBorder="1" applyAlignment="1" applyProtection="1">
      <alignment horizontal="left" vertical="center" indent="1"/>
      <protection locked="0"/>
    </xf>
    <xf numFmtId="0" fontId="44" fillId="0" borderId="18" xfId="42" applyFont="1" applyBorder="1" applyAlignment="1">
      <alignment horizontal="center" vertical="center"/>
    </xf>
    <xf numFmtId="0" fontId="44" fillId="0" borderId="19" xfId="42" applyFont="1" applyBorder="1" applyAlignment="1" applyProtection="1">
      <alignment horizontal="left" vertical="center"/>
      <protection locked="0"/>
    </xf>
    <xf numFmtId="0" fontId="57" fillId="0" borderId="0" xfId="42" applyFont="1" applyAlignment="1">
      <alignment vertical="center"/>
    </xf>
    <xf numFmtId="0" fontId="44" fillId="0" borderId="0" xfId="42" applyFont="1" applyAlignment="1">
      <alignment vertical="center"/>
    </xf>
    <xf numFmtId="0" fontId="44" fillId="0" borderId="20" xfId="42" applyFont="1" applyBorder="1" applyAlignment="1">
      <alignment horizontal="center" vertical="center"/>
    </xf>
    <xf numFmtId="0" fontId="44" fillId="0" borderId="21" xfId="42" applyFont="1" applyBorder="1" applyAlignment="1" applyProtection="1">
      <alignment horizontal="left" vertical="center"/>
      <protection locked="0"/>
    </xf>
    <xf numFmtId="0" fontId="44" fillId="0" borderId="21" xfId="42" applyFont="1" applyBorder="1" applyAlignment="1" applyProtection="1">
      <alignment vertical="center"/>
      <protection locked="0"/>
    </xf>
    <xf numFmtId="0" fontId="44" fillId="0" borderId="22" xfId="42" applyFont="1" applyBorder="1" applyAlignment="1">
      <alignment horizontal="center" vertical="center"/>
    </xf>
    <xf numFmtId="0" fontId="44" fillId="0" borderId="23" xfId="42" applyFont="1" applyBorder="1" applyAlignment="1" applyProtection="1">
      <alignment vertical="center"/>
      <protection locked="0"/>
    </xf>
    <xf numFmtId="0" fontId="58" fillId="0" borderId="0" xfId="42" applyFont="1" applyAlignment="1">
      <alignment vertical="center"/>
    </xf>
    <xf numFmtId="0" fontId="44" fillId="0" borderId="0" xfId="42" applyFont="1" applyAlignment="1">
      <alignment horizontal="right"/>
    </xf>
    <xf numFmtId="0" fontId="44" fillId="0" borderId="0" xfId="42" applyFont="1" applyAlignment="1">
      <alignment horizontal="center"/>
    </xf>
    <xf numFmtId="0" fontId="48" fillId="0" borderId="24" xfId="45" applyFont="1">
      <alignment vertical="center"/>
    </xf>
    <xf numFmtId="0" fontId="48" fillId="0" borderId="24" xfId="45" applyFont="1" applyAlignment="1">
      <alignment horizontal="center"/>
    </xf>
    <xf numFmtId="9" fontId="51" fillId="0" borderId="0" xfId="12" applyFont="1"/>
    <xf numFmtId="0" fontId="0" fillId="0" borderId="0" xfId="0" quotePrefix="1" applyAlignment="1">
      <alignment horizontal="center" vertical="center"/>
    </xf>
    <xf numFmtId="164" fontId="0" fillId="0" borderId="0" xfId="12" quotePrefix="1" applyNumberFormat="1" applyFont="1" applyAlignment="1">
      <alignment horizontal="center" vertical="center"/>
    </xf>
    <xf numFmtId="0" fontId="46" fillId="13" borderId="16" xfId="42" applyFont="1" applyFill="1" applyBorder="1" applyAlignment="1" applyProtection="1">
      <alignment horizontal="center" vertical="center"/>
      <protection locked="0"/>
    </xf>
    <xf numFmtId="169" fontId="44" fillId="0" borderId="0" xfId="42" applyNumberFormat="1" applyFont="1" applyBorder="1" applyAlignment="1" applyProtection="1">
      <alignment horizontal="center" vertical="center"/>
      <protection locked="0"/>
    </xf>
    <xf numFmtId="170" fontId="0" fillId="0" borderId="0" xfId="0" quotePrefix="1" applyNumberFormat="1" applyAlignment="1">
      <alignment horizontal="center" vertical="center"/>
    </xf>
    <xf numFmtId="0" fontId="19" fillId="0" borderId="0" xfId="0" quotePrefix="1" applyFont="1" applyFill="1" applyAlignment="1">
      <alignment horizontal="left" vertical="center"/>
    </xf>
    <xf numFmtId="168" fontId="45" fillId="0" borderId="33" xfId="12" applyNumberFormat="1" applyFont="1" applyBorder="1" applyAlignment="1" applyProtection="1">
      <alignment horizontal="center" vertical="center"/>
    </xf>
    <xf numFmtId="0" fontId="6" fillId="8" borderId="0" xfId="0" applyFont="1" applyFill="1" applyAlignment="1">
      <alignment wrapText="1"/>
    </xf>
    <xf numFmtId="164" fontId="0" fillId="0" borderId="0" xfId="12" applyNumberFormat="1" applyFont="1"/>
    <xf numFmtId="43" fontId="0" fillId="0" borderId="0" xfId="50" applyFont="1"/>
    <xf numFmtId="0" fontId="62" fillId="15" borderId="51" xfId="0" applyFont="1" applyFill="1" applyBorder="1"/>
    <xf numFmtId="0" fontId="62" fillId="15" borderId="51" xfId="0" applyFont="1" applyFill="1" applyBorder="1" applyAlignment="1">
      <alignment wrapText="1"/>
    </xf>
    <xf numFmtId="0" fontId="0" fillId="0" borderId="0" xfId="0" applyAlignment="1">
      <alignment horizontal="left"/>
    </xf>
    <xf numFmtId="0" fontId="0" fillId="0" borderId="0" xfId="0" applyNumberFormat="1"/>
    <xf numFmtId="0" fontId="29" fillId="0" borderId="0" xfId="0" applyFont="1" applyFill="1"/>
    <xf numFmtId="9" fontId="0" fillId="0" borderId="0" xfId="12" applyFont="1" applyAlignment="1">
      <alignment horizontal="center"/>
    </xf>
    <xf numFmtId="9" fontId="6" fillId="0" borderId="2" xfId="12" applyFont="1" applyBorder="1" applyAlignment="1">
      <alignment horizontal="center"/>
    </xf>
    <xf numFmtId="3" fontId="18" fillId="0" borderId="0" xfId="0" applyNumberFormat="1" applyFont="1" applyFill="1" applyBorder="1" applyAlignment="1">
      <alignment horizontal="center" vertical="center"/>
    </xf>
    <xf numFmtId="164" fontId="18" fillId="0" borderId="13" xfId="12" applyNumberFormat="1" applyFont="1" applyFill="1" applyBorder="1" applyAlignment="1">
      <alignment horizontal="center" vertical="center"/>
    </xf>
    <xf numFmtId="164" fontId="18" fillId="0" borderId="8" xfId="12" applyNumberFormat="1" applyFont="1" applyFill="1" applyBorder="1" applyAlignment="1">
      <alignment horizontal="center" vertical="center"/>
    </xf>
    <xf numFmtId="9" fontId="18" fillId="0" borderId="13" xfId="12" applyNumberFormat="1" applyFont="1" applyFill="1" applyBorder="1" applyAlignment="1">
      <alignment horizontal="center" vertical="center"/>
    </xf>
    <xf numFmtId="0" fontId="18" fillId="0" borderId="12" xfId="0" applyFont="1" applyFill="1" applyBorder="1"/>
    <xf numFmtId="0" fontId="18" fillId="0" borderId="13" xfId="0" applyFont="1" applyFill="1" applyBorder="1"/>
    <xf numFmtId="0" fontId="18" fillId="0" borderId="0" xfId="0" applyFont="1" applyFill="1" applyBorder="1"/>
    <xf numFmtId="0" fontId="18" fillId="0" borderId="8" xfId="0" applyFont="1" applyFill="1" applyBorder="1"/>
    <xf numFmtId="0" fontId="44" fillId="0" borderId="0" xfId="42" applyFont="1" applyBorder="1" applyAlignment="1" applyProtection="1">
      <alignment horizontal="left" indent="1"/>
      <protection locked="0"/>
    </xf>
    <xf numFmtId="0" fontId="60" fillId="2" borderId="0" xfId="42" applyFont="1" applyFill="1" applyAlignment="1">
      <alignment vertical="center"/>
    </xf>
    <xf numFmtId="0" fontId="61" fillId="0" borderId="0" xfId="42" applyFont="1" applyAlignment="1">
      <alignment horizontal="left" vertical="center" wrapText="1"/>
    </xf>
    <xf numFmtId="0" fontId="49" fillId="0" borderId="0" xfId="42" applyFont="1">
      <alignment vertical="center" wrapText="1"/>
    </xf>
    <xf numFmtId="167" fontId="49" fillId="0" borderId="48" xfId="42" applyNumberFormat="1" applyFont="1" applyFill="1" applyBorder="1" applyAlignment="1">
      <alignment horizontal="center" vertical="center"/>
    </xf>
    <xf numFmtId="168" fontId="49" fillId="0" borderId="16" xfId="12" applyNumberFormat="1" applyFont="1" applyFill="1" applyBorder="1" applyAlignment="1">
      <alignment horizontal="center" vertical="center"/>
    </xf>
    <xf numFmtId="164" fontId="49" fillId="0" borderId="48" xfId="42" applyNumberFormat="1" applyFont="1" applyFill="1" applyBorder="1" applyAlignment="1">
      <alignment horizontal="center" vertical="center"/>
    </xf>
    <xf numFmtId="164" fontId="49" fillId="0" borderId="16" xfId="12" applyNumberFormat="1" applyFont="1" applyFill="1" applyBorder="1" applyAlignment="1">
      <alignment horizontal="center" vertical="center"/>
    </xf>
    <xf numFmtId="168" fontId="49" fillId="0" borderId="49" xfId="12" applyNumberFormat="1" applyFont="1" applyFill="1" applyBorder="1" applyAlignment="1">
      <alignment horizontal="center" vertical="center"/>
    </xf>
    <xf numFmtId="164" fontId="49" fillId="0" borderId="50" xfId="12" applyNumberFormat="1" applyFont="1" applyFill="1" applyBorder="1" applyAlignment="1">
      <alignment horizontal="center" vertical="center"/>
    </xf>
    <xf numFmtId="0" fontId="61" fillId="0" borderId="0" xfId="42" applyFont="1" applyAlignment="1">
      <alignment horizontal="left" vertical="center"/>
    </xf>
    <xf numFmtId="169" fontId="49" fillId="0" borderId="48" xfId="42" applyNumberFormat="1" applyFont="1" applyFill="1" applyBorder="1" applyAlignment="1">
      <alignment horizontal="center" vertical="center"/>
    </xf>
    <xf numFmtId="37" fontId="49" fillId="0" borderId="48" xfId="42" applyNumberFormat="1" applyFont="1" applyFill="1" applyBorder="1" applyAlignment="1">
      <alignment horizontal="center" vertical="center"/>
    </xf>
    <xf numFmtId="37" fontId="49" fillId="0" borderId="16" xfId="12" applyNumberFormat="1" applyFont="1" applyFill="1" applyBorder="1" applyAlignment="1">
      <alignment horizontal="center" vertical="center"/>
    </xf>
    <xf numFmtId="37" fontId="49" fillId="0" borderId="49" xfId="12" applyNumberFormat="1" applyFont="1" applyFill="1" applyBorder="1" applyAlignment="1">
      <alignment horizontal="center" vertical="center"/>
    </xf>
    <xf numFmtId="1" fontId="49" fillId="0" borderId="48" xfId="42" applyNumberFormat="1" applyFont="1" applyFill="1" applyBorder="1" applyAlignment="1">
      <alignment horizontal="center" vertical="center"/>
    </xf>
    <xf numFmtId="3" fontId="49" fillId="0" borderId="48" xfId="42" applyNumberFormat="1" applyFont="1" applyFill="1" applyBorder="1" applyAlignment="1">
      <alignment horizontal="center" vertical="center"/>
    </xf>
    <xf numFmtId="37" fontId="49" fillId="0" borderId="50" xfId="12" applyNumberFormat="1" applyFont="1" applyFill="1" applyBorder="1" applyAlignment="1">
      <alignment horizontal="center" vertical="center"/>
    </xf>
    <xf numFmtId="37" fontId="49" fillId="0" borderId="0" xfId="12" applyNumberFormat="1" applyFont="1" applyFill="1" applyBorder="1" applyAlignment="1">
      <alignment horizontal="center" vertical="center"/>
    </xf>
    <xf numFmtId="168" fontId="49" fillId="0" borderId="0" xfId="12" applyNumberFormat="1" applyFont="1" applyFill="1" applyBorder="1" applyAlignment="1">
      <alignment horizontal="center" vertical="center"/>
    </xf>
    <xf numFmtId="0" fontId="66" fillId="14" borderId="16" xfId="42" applyFont="1" applyFill="1" applyBorder="1" applyAlignment="1">
      <alignment horizontal="center" vertical="center"/>
    </xf>
    <xf numFmtId="0" fontId="66" fillId="14" borderId="28" xfId="47" applyFont="1" applyFill="1" applyBorder="1" applyAlignment="1" applyProtection="1">
      <alignment horizontal="center" vertical="center" wrapText="1"/>
    </xf>
    <xf numFmtId="0" fontId="67" fillId="0" borderId="0" xfId="42" applyFont="1" applyAlignment="1" applyProtection="1">
      <protection locked="0"/>
    </xf>
    <xf numFmtId="0" fontId="67" fillId="0" borderId="0" xfId="42" applyFont="1" applyAlignment="1"/>
    <xf numFmtId="168" fontId="49" fillId="0" borderId="17" xfId="12" applyNumberFormat="1" applyFont="1" applyFill="1" applyBorder="1" applyAlignment="1">
      <alignment horizontal="center" vertical="center"/>
    </xf>
    <xf numFmtId="37" fontId="49" fillId="0" borderId="17" xfId="12" applyNumberFormat="1" applyFont="1" applyFill="1" applyBorder="1" applyAlignment="1">
      <alignment horizontal="center" vertical="center"/>
    </xf>
    <xf numFmtId="37" fontId="49" fillId="0" borderId="48" xfId="12" applyNumberFormat="1" applyFont="1" applyFill="1" applyBorder="1" applyAlignment="1">
      <alignment horizontal="center" vertical="center"/>
    </xf>
    <xf numFmtId="171" fontId="49" fillId="0" borderId="48" xfId="12" applyNumberFormat="1" applyFont="1" applyFill="1" applyBorder="1" applyAlignment="1">
      <alignment horizontal="center" vertical="center"/>
    </xf>
    <xf numFmtId="0" fontId="44" fillId="0" borderId="48" xfId="42" applyFont="1" applyBorder="1">
      <alignment vertical="center" wrapText="1"/>
    </xf>
    <xf numFmtId="0" fontId="44" fillId="0" borderId="17" xfId="42" applyFont="1" applyBorder="1">
      <alignment vertical="center" wrapText="1"/>
    </xf>
    <xf numFmtId="171" fontId="49" fillId="0" borderId="17" xfId="12" applyNumberFormat="1" applyFont="1" applyFill="1" applyBorder="1" applyAlignment="1">
      <alignment horizontal="center" vertical="center"/>
    </xf>
    <xf numFmtId="0" fontId="69" fillId="0" borderId="0" xfId="42" applyFont="1">
      <alignment vertical="center" wrapText="1"/>
    </xf>
    <xf numFmtId="0" fontId="70" fillId="0" borderId="0" xfId="42" applyFont="1">
      <alignment vertical="center" wrapText="1"/>
    </xf>
    <xf numFmtId="0" fontId="69" fillId="0" borderId="0" xfId="42" applyFont="1" applyAlignment="1">
      <alignment horizontal="left" vertical="center" indent="1"/>
    </xf>
    <xf numFmtId="9" fontId="10" fillId="0" borderId="0" xfId="12" applyNumberFormat="1" applyFont="1" applyFill="1" applyAlignment="1">
      <alignment horizontal="center"/>
    </xf>
    <xf numFmtId="0" fontId="6" fillId="16" borderId="0" xfId="0" applyFont="1" applyFill="1" applyAlignment="1">
      <alignment horizontal="left"/>
    </xf>
    <xf numFmtId="0" fontId="6" fillId="16" borderId="1" xfId="0" applyFont="1" applyFill="1" applyBorder="1" applyAlignment="1">
      <alignment horizontal="left"/>
    </xf>
    <xf numFmtId="165" fontId="0" fillId="0" borderId="0" xfId="50" applyNumberFormat="1" applyFont="1"/>
    <xf numFmtId="165" fontId="6" fillId="0" borderId="0" xfId="50" applyNumberFormat="1" applyFont="1"/>
    <xf numFmtId="165" fontId="6" fillId="0" borderId="2" xfId="50" applyNumberFormat="1" applyFont="1" applyBorder="1"/>
    <xf numFmtId="165" fontId="0" fillId="0" borderId="0" xfId="50" applyNumberFormat="1" applyFont="1" applyAlignment="1">
      <alignment horizontal="left"/>
    </xf>
    <xf numFmtId="165" fontId="10" fillId="2" borderId="0" xfId="50" applyNumberFormat="1" applyFont="1" applyFill="1"/>
    <xf numFmtId="0" fontId="10" fillId="2" borderId="0" xfId="13" applyFont="1" applyFill="1" applyAlignment="1">
      <alignment horizontal="center"/>
    </xf>
    <xf numFmtId="0" fontId="60" fillId="0" borderId="0" xfId="42" applyFont="1" applyFill="1" applyAlignment="1">
      <alignment horizontal="left" vertical="center" indent="1"/>
    </xf>
    <xf numFmtId="0" fontId="71" fillId="0" borderId="1" xfId="22" applyFont="1" applyFill="1" applyBorder="1" applyAlignment="1">
      <alignment horizontal="center" wrapText="1"/>
    </xf>
    <xf numFmtId="0" fontId="71" fillId="0" borderId="1" xfId="22" applyFont="1" applyFill="1" applyBorder="1" applyAlignment="1" applyProtection="1">
      <alignment horizontal="center" vertical="top" wrapText="1" readingOrder="1"/>
      <protection locked="0"/>
    </xf>
    <xf numFmtId="0" fontId="3" fillId="0" borderId="0" xfId="22" quotePrefix="1" applyFont="1" applyFill="1" applyAlignment="1">
      <alignment horizontal="left" indent="1"/>
    </xf>
    <xf numFmtId="172" fontId="3" fillId="0" borderId="0" xfId="22" applyNumberFormat="1" applyFill="1"/>
    <xf numFmtId="0" fontId="3" fillId="0" borderId="0" xfId="22" applyFont="1" applyFill="1" applyAlignment="1">
      <alignment horizontal="left" indent="1"/>
    </xf>
    <xf numFmtId="3" fontId="3" fillId="0" borderId="0" xfId="22" applyNumberFormat="1" applyFill="1"/>
    <xf numFmtId="0" fontId="3" fillId="0" borderId="0" xfId="22" applyFill="1" applyAlignment="1">
      <alignment horizontal="left" indent="1"/>
    </xf>
    <xf numFmtId="3" fontId="3" fillId="0" borderId="0" xfId="51" applyNumberFormat="1" applyFont="1" applyFill="1"/>
    <xf numFmtId="0" fontId="6" fillId="8" borderId="0" xfId="0" applyFont="1" applyFill="1" applyAlignment="1"/>
    <xf numFmtId="0" fontId="18" fillId="0" borderId="12" xfId="0" applyFont="1" applyBorder="1" applyAlignment="1">
      <alignment horizontal="center"/>
    </xf>
    <xf numFmtId="167" fontId="18" fillId="0" borderId="12" xfId="11" applyNumberFormat="1" applyFont="1" applyBorder="1" applyAlignment="1">
      <alignment horizontal="center" vertical="center"/>
    </xf>
    <xf numFmtId="167" fontId="18" fillId="0" borderId="13" xfId="11" applyNumberFormat="1" applyFont="1" applyBorder="1" applyAlignment="1">
      <alignment horizontal="center" vertical="center"/>
    </xf>
    <xf numFmtId="167" fontId="18" fillId="0" borderId="0" xfId="11" applyNumberFormat="1" applyFont="1" applyBorder="1" applyAlignment="1">
      <alignment horizontal="center" vertical="center"/>
    </xf>
    <xf numFmtId="168" fontId="18" fillId="0" borderId="13" xfId="11" applyNumberFormat="1" applyFont="1" applyBorder="1" applyAlignment="1">
      <alignment horizontal="center" vertical="center"/>
    </xf>
    <xf numFmtId="168" fontId="18" fillId="0" borderId="8" xfId="11" applyNumberFormat="1" applyFont="1" applyBorder="1" applyAlignment="1">
      <alignment horizontal="center" vertical="center"/>
    </xf>
    <xf numFmtId="167" fontId="18" fillId="0" borderId="8" xfId="11" applyNumberFormat="1" applyFont="1" applyBorder="1" applyAlignment="1">
      <alignment horizontal="center" vertical="center"/>
    </xf>
    <xf numFmtId="0" fontId="6" fillId="0" borderId="1" xfId="0" applyFont="1" applyFill="1" applyBorder="1" applyAlignment="1">
      <alignment horizontal="left"/>
    </xf>
    <xf numFmtId="3" fontId="6" fillId="0" borderId="0" xfId="0" applyNumberFormat="1" applyFont="1" applyBorder="1" applyAlignment="1">
      <alignment horizontal="center"/>
    </xf>
    <xf numFmtId="164" fontId="6" fillId="0" borderId="0" xfId="12" applyNumberFormat="1" applyFont="1" applyBorder="1" applyAlignment="1">
      <alignment horizontal="center"/>
    </xf>
    <xf numFmtId="0" fontId="44" fillId="0" borderId="0" xfId="42" applyFont="1" applyFill="1">
      <alignment vertical="center" wrapText="1"/>
    </xf>
    <xf numFmtId="0" fontId="60" fillId="0" borderId="0" xfId="42" applyFont="1" applyFill="1">
      <alignment vertical="center" wrapText="1"/>
    </xf>
    <xf numFmtId="0" fontId="6" fillId="0" borderId="1" xfId="0" applyFont="1" applyFill="1" applyBorder="1" applyAlignment="1">
      <alignment horizontal="center"/>
    </xf>
    <xf numFmtId="0" fontId="6" fillId="4" borderId="1" xfId="0" applyFont="1" applyFill="1" applyBorder="1" applyAlignment="1">
      <alignment horizontal="left" wrapText="1"/>
    </xf>
    <xf numFmtId="41" fontId="21" fillId="0" borderId="0" xfId="2" applyNumberFormat="1" applyFont="1" applyFill="1" applyBorder="1" applyAlignment="1">
      <alignment horizontal="right"/>
    </xf>
    <xf numFmtId="0" fontId="60" fillId="0" borderId="0" xfId="42" applyFont="1" applyFill="1" applyAlignment="1">
      <alignment vertical="center"/>
    </xf>
    <xf numFmtId="9" fontId="6" fillId="0" borderId="0" xfId="12" applyNumberFormat="1" applyFont="1" applyBorder="1" applyAlignment="1">
      <alignment horizontal="center"/>
    </xf>
    <xf numFmtId="0" fontId="6" fillId="0" borderId="1" xfId="0" applyFont="1" applyFill="1" applyBorder="1" applyAlignment="1">
      <alignment horizontal="center" wrapText="1"/>
    </xf>
    <xf numFmtId="0" fontId="18" fillId="0" borderId="0" xfId="0" applyFont="1" applyBorder="1" applyAlignment="1">
      <alignment horizontal="center"/>
    </xf>
    <xf numFmtId="0" fontId="73" fillId="0" borderId="0" xfId="42" applyFont="1" applyAlignment="1">
      <alignment vertical="center"/>
    </xf>
    <xf numFmtId="172" fontId="0" fillId="0" borderId="0" xfId="50" applyNumberFormat="1" applyFont="1"/>
    <xf numFmtId="9" fontId="0" fillId="0" borderId="0" xfId="12" applyFont="1"/>
    <xf numFmtId="3" fontId="10" fillId="0" borderId="2" xfId="0" applyNumberFormat="1" applyFont="1" applyFill="1" applyBorder="1" applyAlignment="1">
      <alignment horizontal="center"/>
    </xf>
    <xf numFmtId="41" fontId="10" fillId="0" borderId="2" xfId="2" applyNumberFormat="1" applyFont="1" applyFill="1" applyBorder="1" applyAlignment="1">
      <alignment horizontal="right"/>
    </xf>
    <xf numFmtId="3" fontId="10" fillId="0" borderId="2" xfId="0" applyNumberFormat="1" applyFont="1" applyBorder="1" applyAlignment="1">
      <alignment horizontal="center"/>
    </xf>
    <xf numFmtId="165" fontId="10" fillId="0" borderId="2" xfId="50" applyNumberFormat="1" applyFont="1" applyFill="1" applyBorder="1"/>
    <xf numFmtId="0" fontId="65" fillId="17" borderId="14" xfId="44" applyFont="1" applyFill="1" applyBorder="1" applyAlignment="1">
      <alignment horizontal="center" vertical="center" wrapText="1"/>
    </xf>
    <xf numFmtId="0" fontId="74" fillId="0" borderId="0" xfId="0" applyFont="1" applyAlignment="1">
      <alignment vertical="top" wrapText="1"/>
    </xf>
    <xf numFmtId="0" fontId="54" fillId="0" borderId="0" xfId="43" applyFont="1" applyAlignment="1">
      <alignment vertical="center"/>
    </xf>
    <xf numFmtId="0" fontId="56" fillId="0" borderId="15" xfId="44" applyFont="1" applyBorder="1" applyAlignment="1" applyProtection="1">
      <alignment horizontal="left" vertical="center"/>
      <protection locked="0"/>
    </xf>
    <xf numFmtId="0" fontId="75" fillId="0" borderId="0" xfId="42" applyFont="1" applyAlignment="1">
      <alignment vertical="center"/>
    </xf>
    <xf numFmtId="164" fontId="6" fillId="0" borderId="0" xfId="12" applyNumberFormat="1" applyFont="1" applyAlignment="1">
      <alignment wrapText="1"/>
    </xf>
    <xf numFmtId="164" fontId="71" fillId="0" borderId="1" xfId="12" applyNumberFormat="1" applyFont="1" applyFill="1" applyBorder="1" applyAlignment="1" applyProtection="1">
      <alignment horizontal="center" vertical="top" wrapText="1" readingOrder="1"/>
      <protection locked="0"/>
    </xf>
    <xf numFmtId="165" fontId="10" fillId="0" borderId="0" xfId="50" applyNumberFormat="1" applyFont="1" applyFill="1"/>
    <xf numFmtId="9" fontId="0" fillId="0" borderId="0" xfId="12" applyFont="1" applyAlignment="1">
      <alignment wrapText="1"/>
    </xf>
    <xf numFmtId="167" fontId="18" fillId="0" borderId="12" xfId="11" applyNumberFormat="1" applyFont="1" applyBorder="1" applyAlignment="1">
      <alignment horizontal="center" vertical="center"/>
    </xf>
    <xf numFmtId="167" fontId="18" fillId="0" borderId="13" xfId="11" applyNumberFormat="1" applyFont="1" applyBorder="1" applyAlignment="1">
      <alignment horizontal="center" vertical="center"/>
    </xf>
    <xf numFmtId="3" fontId="18" fillId="0" borderId="12" xfId="0" applyNumberFormat="1" applyFont="1" applyFill="1" applyBorder="1" applyAlignment="1">
      <alignment horizontal="center" vertical="center"/>
    </xf>
    <xf numFmtId="3" fontId="18" fillId="0" borderId="13" xfId="0" applyNumberFormat="1" applyFont="1" applyFill="1" applyBorder="1" applyAlignment="1">
      <alignment horizontal="center" vertical="center"/>
    </xf>
    <xf numFmtId="168" fontId="18" fillId="0" borderId="13" xfId="11" applyNumberFormat="1" applyFont="1" applyBorder="1" applyAlignment="1">
      <alignment horizontal="center" vertical="center"/>
    </xf>
    <xf numFmtId="167" fontId="18" fillId="0" borderId="8" xfId="11" applyNumberFormat="1" applyFont="1" applyBorder="1" applyAlignment="1">
      <alignment horizontal="center" vertical="center"/>
    </xf>
    <xf numFmtId="168" fontId="18" fillId="0" borderId="8" xfId="11" applyNumberFormat="1" applyFont="1" applyBorder="1" applyAlignment="1">
      <alignment horizontal="center" vertical="center"/>
    </xf>
    <xf numFmtId="3" fontId="18" fillId="0" borderId="0" xfId="0" applyNumberFormat="1" applyFont="1" applyFill="1" applyBorder="1" applyAlignment="1">
      <alignment horizontal="center" vertical="center"/>
    </xf>
    <xf numFmtId="37" fontId="0" fillId="0" borderId="0" xfId="0" applyNumberFormat="1" applyAlignment="1">
      <alignment horizontal="center"/>
    </xf>
    <xf numFmtId="5" fontId="0" fillId="0" borderId="0" xfId="11" applyNumberFormat="1" applyFont="1" applyAlignment="1">
      <alignment horizontal="right"/>
    </xf>
    <xf numFmtId="37" fontId="0" fillId="0" borderId="0" xfId="11" applyNumberFormat="1" applyFont="1" applyAlignment="1">
      <alignment horizontal="right"/>
    </xf>
    <xf numFmtId="173" fontId="0" fillId="0" borderId="0" xfId="11" applyNumberFormat="1" applyFont="1"/>
    <xf numFmtId="37" fontId="76" fillId="0" borderId="2" xfId="0" applyNumberFormat="1" applyFont="1" applyBorder="1"/>
    <xf numFmtId="173" fontId="76" fillId="0" borderId="2" xfId="11" applyNumberFormat="1" applyFont="1" applyBorder="1"/>
    <xf numFmtId="37" fontId="76" fillId="0" borderId="2" xfId="0" applyNumberFormat="1" applyFont="1" applyBorder="1" applyAlignment="1">
      <alignment horizontal="center"/>
    </xf>
    <xf numFmtId="164" fontId="76" fillId="0" borderId="2" xfId="12" applyNumberFormat="1" applyFont="1" applyBorder="1"/>
    <xf numFmtId="0" fontId="77" fillId="0" borderId="0" xfId="0" applyFont="1" applyAlignment="1">
      <alignment horizontal="center" wrapText="1"/>
    </xf>
    <xf numFmtId="165" fontId="6" fillId="0" borderId="0" xfId="50" applyNumberFormat="1" applyFont="1" applyAlignment="1">
      <alignment horizontal="center" wrapText="1"/>
    </xf>
    <xf numFmtId="0" fontId="0" fillId="8" borderId="0" xfId="0" applyFill="1"/>
    <xf numFmtId="0" fontId="0" fillId="0" borderId="1" xfId="0" applyFont="1" applyBorder="1" applyAlignment="1">
      <alignment horizontal="center" wrapText="1"/>
    </xf>
    <xf numFmtId="0" fontId="30" fillId="0" borderId="0" xfId="0" applyFont="1" applyAlignment="1">
      <alignment horizontal="center"/>
    </xf>
    <xf numFmtId="0" fontId="64" fillId="17" borderId="0" xfId="0" applyFont="1" applyFill="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xf>
    <xf numFmtId="0" fontId="63" fillId="0" borderId="0" xfId="0" applyFont="1" applyAlignment="1">
      <alignment horizontal="center"/>
    </xf>
    <xf numFmtId="0" fontId="7" fillId="0" borderId="0" xfId="0" applyFont="1" applyBorder="1" applyAlignment="1">
      <alignment horizontal="center"/>
    </xf>
    <xf numFmtId="167" fontId="18" fillId="0" borderId="12" xfId="11" applyNumberFormat="1" applyFont="1" applyBorder="1" applyAlignment="1">
      <alignment horizontal="center" vertical="center"/>
    </xf>
    <xf numFmtId="167" fontId="18" fillId="0" borderId="13" xfId="11" applyNumberFormat="1" applyFont="1" applyBorder="1" applyAlignment="1">
      <alignment horizontal="center" vertical="center"/>
    </xf>
    <xf numFmtId="167" fontId="18" fillId="0" borderId="0" xfId="11" applyNumberFormat="1" applyFont="1" applyBorder="1" applyAlignment="1">
      <alignment horizontal="center" vertical="center"/>
    </xf>
    <xf numFmtId="168" fontId="18" fillId="0" borderId="12" xfId="11" applyNumberFormat="1" applyFont="1" applyBorder="1" applyAlignment="1">
      <alignment horizontal="center" vertical="center"/>
    </xf>
    <xf numFmtId="168" fontId="18" fillId="0" borderId="13" xfId="11" applyNumberFormat="1" applyFont="1" applyBorder="1" applyAlignment="1">
      <alignment horizontal="center" vertical="center"/>
    </xf>
    <xf numFmtId="168" fontId="18" fillId="0" borderId="0" xfId="11" applyNumberFormat="1" applyFont="1" applyBorder="1" applyAlignment="1">
      <alignment horizontal="center" vertical="center"/>
    </xf>
    <xf numFmtId="0" fontId="7" fillId="0" borderId="8" xfId="0" applyFont="1" applyBorder="1" applyAlignment="1">
      <alignment horizontal="center"/>
    </xf>
    <xf numFmtId="167" fontId="18" fillId="0" borderId="8" xfId="11" applyNumberFormat="1" applyFont="1" applyBorder="1" applyAlignment="1">
      <alignment horizontal="center" vertical="center"/>
    </xf>
    <xf numFmtId="168" fontId="18" fillId="0" borderId="8" xfId="11" applyNumberFormat="1" applyFont="1" applyBorder="1" applyAlignment="1">
      <alignment horizontal="center" vertical="center"/>
    </xf>
    <xf numFmtId="0" fontId="18" fillId="0" borderId="8" xfId="0" applyFont="1" applyBorder="1" applyAlignment="1">
      <alignment horizontal="center"/>
    </xf>
    <xf numFmtId="0" fontId="26" fillId="0" borderId="4" xfId="0" applyFont="1" applyFill="1" applyBorder="1" applyAlignment="1">
      <alignment horizontal="center"/>
    </xf>
    <xf numFmtId="0" fontId="26" fillId="0" borderId="5" xfId="0" applyFont="1" applyFill="1" applyBorder="1" applyAlignment="1">
      <alignment horizontal="center"/>
    </xf>
    <xf numFmtId="0" fontId="26" fillId="0" borderId="6" xfId="0" applyFont="1" applyFill="1" applyBorder="1" applyAlignment="1">
      <alignment horizontal="center"/>
    </xf>
    <xf numFmtId="0" fontId="26" fillId="0" borderId="4" xfId="0" applyFont="1" applyBorder="1" applyAlignment="1">
      <alignment horizontal="center"/>
    </xf>
    <xf numFmtId="0" fontId="26" fillId="0" borderId="5" xfId="0" applyFont="1" applyBorder="1" applyAlignment="1">
      <alignment horizontal="center"/>
    </xf>
    <xf numFmtId="0" fontId="26" fillId="0" borderId="6" xfId="0" applyFont="1" applyBorder="1" applyAlignment="1">
      <alignment horizontal="center"/>
    </xf>
    <xf numFmtId="3" fontId="18" fillId="0" borderId="0" xfId="0" applyNumberFormat="1" applyFont="1" applyFill="1" applyBorder="1" applyAlignment="1">
      <alignment horizontal="center" vertical="center"/>
    </xf>
    <xf numFmtId="3" fontId="18" fillId="0" borderId="8" xfId="0" applyNumberFormat="1" applyFont="1" applyFill="1" applyBorder="1" applyAlignment="1">
      <alignment horizontal="center" vertical="center"/>
    </xf>
    <xf numFmtId="0" fontId="44" fillId="0" borderId="44" xfId="42" applyFont="1" applyBorder="1" applyProtection="1">
      <alignment vertical="center" wrapText="1"/>
      <protection locked="0"/>
    </xf>
    <xf numFmtId="0" fontId="44" fillId="0" borderId="25" xfId="42" applyFont="1" applyBorder="1" applyProtection="1">
      <alignment vertical="center" wrapText="1"/>
      <protection locked="0"/>
    </xf>
    <xf numFmtId="0" fontId="44" fillId="0" borderId="45" xfId="42" applyFont="1" applyBorder="1" applyProtection="1">
      <alignment vertical="center" wrapText="1"/>
      <protection locked="0"/>
    </xf>
    <xf numFmtId="0" fontId="68" fillId="0" borderId="24" xfId="45" applyNumberFormat="1" applyFont="1" applyFill="1" applyAlignment="1" applyProtection="1">
      <alignment horizontal="center" vertical="center"/>
      <protection locked="0"/>
    </xf>
    <xf numFmtId="0" fontId="47" fillId="0" borderId="0" xfId="46" applyFont="1" applyAlignment="1" applyProtection="1">
      <alignment vertical="top"/>
      <protection locked="0"/>
    </xf>
    <xf numFmtId="0" fontId="47" fillId="0" borderId="25" xfId="46" applyFont="1" applyBorder="1" applyAlignment="1" applyProtection="1">
      <alignment vertical="top"/>
      <protection locked="0"/>
    </xf>
    <xf numFmtId="0" fontId="48" fillId="0" borderId="24" xfId="45" applyFont="1" applyProtection="1">
      <alignment vertical="center"/>
      <protection locked="0"/>
    </xf>
    <xf numFmtId="0" fontId="48" fillId="0" borderId="27" xfId="45" applyFont="1" applyBorder="1" applyAlignment="1" applyProtection="1">
      <alignment horizontal="center" vertical="center"/>
      <protection locked="0"/>
    </xf>
    <xf numFmtId="0" fontId="66" fillId="14" borderId="29" xfId="47" applyFont="1" applyFill="1" applyBorder="1" applyAlignment="1" applyProtection="1">
      <alignment horizontal="center" vertical="center" wrapText="1"/>
    </xf>
    <xf numFmtId="0" fontId="66" fillId="14" borderId="30" xfId="47" applyFont="1" applyFill="1" applyBorder="1" applyAlignment="1" applyProtection="1">
      <alignment horizontal="center" vertical="center" wrapText="1"/>
    </xf>
    <xf numFmtId="0" fontId="66" fillId="14" borderId="31" xfId="47" applyFont="1" applyFill="1" applyBorder="1" applyAlignment="1" applyProtection="1">
      <alignment horizontal="center" vertical="center" wrapText="1"/>
    </xf>
    <xf numFmtId="37" fontId="45" fillId="0" borderId="35" xfId="12" applyNumberFormat="1" applyFont="1" applyBorder="1" applyAlignment="1" applyProtection="1">
      <alignment horizontal="center" vertical="center"/>
    </xf>
    <xf numFmtId="37" fontId="45" fillId="0" borderId="32" xfId="12" applyNumberFormat="1" applyFont="1" applyBorder="1" applyAlignment="1" applyProtection="1">
      <alignment horizontal="center" vertical="center"/>
    </xf>
    <xf numFmtId="37" fontId="45" fillId="0" borderId="36" xfId="12" applyNumberFormat="1" applyFont="1" applyBorder="1" applyAlignment="1" applyProtection="1">
      <alignment horizontal="center" vertical="center"/>
    </xf>
    <xf numFmtId="9" fontId="49" fillId="0" borderId="38" xfId="49" applyFont="1" applyBorder="1" applyAlignment="1" applyProtection="1">
      <alignment horizontal="left" vertical="center" indent="2"/>
    </xf>
    <xf numFmtId="9" fontId="49" fillId="0" borderId="39" xfId="49" applyFont="1" applyBorder="1" applyAlignment="1" applyProtection="1">
      <alignment horizontal="left" vertical="center" indent="2"/>
    </xf>
    <xf numFmtId="9" fontId="49" fillId="0" borderId="40" xfId="49" applyFont="1" applyBorder="1" applyAlignment="1" applyProtection="1">
      <alignment horizontal="left" vertical="center" indent="2"/>
    </xf>
    <xf numFmtId="0" fontId="44" fillId="0" borderId="42" xfId="42" applyFont="1" applyBorder="1" applyAlignment="1" applyProtection="1">
      <alignment horizontal="left" indent="1"/>
      <protection locked="0"/>
    </xf>
    <xf numFmtId="0" fontId="44" fillId="0" borderId="0" xfId="42" applyFont="1" applyBorder="1" applyAlignment="1" applyProtection="1">
      <alignment horizontal="left" indent="1"/>
      <protection locked="0"/>
    </xf>
    <xf numFmtId="0" fontId="44" fillId="0" borderId="34" xfId="42" applyFont="1" applyBorder="1" applyAlignment="1" applyProtection="1">
      <alignment horizontal="left" indent="1"/>
      <protection locked="0"/>
    </xf>
    <xf numFmtId="0" fontId="66" fillId="14" borderId="4" xfId="47" applyFont="1" applyFill="1" applyBorder="1" applyAlignment="1" applyProtection="1">
      <alignment horizontal="center" vertical="center" wrapText="1"/>
    </xf>
    <xf numFmtId="0" fontId="66" fillId="14" borderId="6" xfId="47" applyFont="1" applyFill="1" applyBorder="1" applyAlignment="1" applyProtection="1">
      <alignment horizontal="center" vertical="center" wrapText="1"/>
    </xf>
    <xf numFmtId="168" fontId="45" fillId="0" borderId="52" xfId="12" applyNumberFormat="1" applyFont="1" applyBorder="1" applyAlignment="1" applyProtection="1">
      <alignment horizontal="center" vertical="center"/>
    </xf>
    <xf numFmtId="168" fontId="45" fillId="0" borderId="53" xfId="12" applyNumberFormat="1" applyFont="1" applyBorder="1" applyAlignment="1" applyProtection="1">
      <alignment horizontal="center" vertical="center"/>
    </xf>
    <xf numFmtId="9" fontId="49" fillId="0" borderId="7" xfId="49" applyFont="1" applyBorder="1" applyAlignment="1" applyProtection="1">
      <alignment horizontal="center" vertical="center"/>
    </xf>
    <xf numFmtId="9" fontId="49" fillId="0" borderId="8" xfId="49" applyFont="1" applyBorder="1" applyAlignment="1" applyProtection="1">
      <alignment horizontal="center" vertical="center"/>
    </xf>
    <xf numFmtId="0" fontId="44" fillId="0" borderId="7" xfId="42" applyFont="1" applyBorder="1" applyAlignment="1" applyProtection="1">
      <alignment horizontal="center"/>
      <protection locked="0"/>
    </xf>
    <xf numFmtId="0" fontId="44" fillId="0" borderId="8" xfId="42" applyFont="1" applyBorder="1" applyAlignment="1" applyProtection="1">
      <alignment horizontal="center"/>
      <protection locked="0"/>
    </xf>
    <xf numFmtId="0" fontId="44" fillId="0" borderId="9" xfId="42" applyFont="1" applyBorder="1" applyAlignment="1" applyProtection="1">
      <alignment horizontal="center" vertical="center" wrapText="1"/>
      <protection locked="0"/>
    </xf>
    <xf numFmtId="0" fontId="44" fillId="0" borderId="11" xfId="42" applyFont="1" applyBorder="1" applyAlignment="1" applyProtection="1">
      <alignment horizontal="center" vertical="center" wrapText="1"/>
      <protection locked="0"/>
    </xf>
    <xf numFmtId="0" fontId="44" fillId="0" borderId="46" xfId="42" applyFont="1" applyBorder="1">
      <alignment vertical="center" wrapText="1"/>
    </xf>
    <xf numFmtId="0" fontId="66" fillId="14" borderId="47" xfId="42" applyFont="1" applyFill="1" applyBorder="1" applyAlignment="1">
      <alignment horizontal="left" vertical="center" indent="1"/>
    </xf>
    <xf numFmtId="0" fontId="66" fillId="14" borderId="47" xfId="42" applyFont="1" applyFill="1" applyBorder="1" applyAlignment="1">
      <alignment horizontal="center" vertical="center"/>
    </xf>
    <xf numFmtId="0" fontId="66" fillId="14" borderId="16" xfId="42" applyFont="1" applyFill="1" applyBorder="1" applyAlignment="1">
      <alignment horizontal="center" vertical="center"/>
    </xf>
    <xf numFmtId="0" fontId="49" fillId="0" borderId="48" xfId="42" applyFont="1" applyFill="1" applyBorder="1" applyAlignment="1">
      <alignment horizontal="left" vertical="center" indent="1"/>
    </xf>
    <xf numFmtId="3" fontId="49" fillId="0" borderId="17" xfId="42" applyNumberFormat="1" applyFont="1" applyFill="1" applyBorder="1" applyAlignment="1">
      <alignment horizontal="center" vertical="center"/>
    </xf>
    <xf numFmtId="0" fontId="49" fillId="0" borderId="48" xfId="42" applyFont="1" applyFill="1" applyBorder="1" applyAlignment="1">
      <alignment vertical="center"/>
    </xf>
    <xf numFmtId="0" fontId="48" fillId="0" borderId="24" xfId="45" applyFont="1" applyFill="1" applyProtection="1">
      <alignment vertical="center"/>
      <protection locked="0"/>
    </xf>
    <xf numFmtId="0" fontId="61" fillId="0" borderId="0" xfId="42" applyFont="1" applyAlignment="1">
      <alignment horizontal="center" vertical="center" wrapText="1"/>
    </xf>
    <xf numFmtId="0" fontId="49" fillId="0" borderId="48" xfId="42" applyFont="1" applyFill="1" applyBorder="1" applyAlignment="1">
      <alignment horizontal="left" vertical="center" indent="2"/>
    </xf>
    <xf numFmtId="167" fontId="49" fillId="0" borderId="17" xfId="42" applyNumberFormat="1" applyFont="1" applyFill="1" applyBorder="1" applyAlignment="1">
      <alignment horizontal="center" vertical="center"/>
    </xf>
    <xf numFmtId="0" fontId="49" fillId="0" borderId="48" xfId="42" applyFont="1" applyFill="1" applyBorder="1" applyAlignment="1">
      <alignment horizontal="left" vertical="center" wrapText="1" indent="2"/>
    </xf>
    <xf numFmtId="169" fontId="49" fillId="0" borderId="17" xfId="42" applyNumberFormat="1" applyFont="1" applyFill="1" applyBorder="1" applyAlignment="1">
      <alignment horizontal="center" vertical="center"/>
    </xf>
    <xf numFmtId="164" fontId="49" fillId="0" borderId="17" xfId="42" applyNumberFormat="1" applyFont="1" applyFill="1" applyBorder="1" applyAlignment="1">
      <alignment horizontal="center" vertical="center"/>
    </xf>
    <xf numFmtId="37" fontId="49" fillId="0" borderId="17" xfId="42" applyNumberFormat="1" applyFont="1" applyFill="1" applyBorder="1" applyAlignment="1">
      <alignment horizontal="center" vertical="center"/>
    </xf>
    <xf numFmtId="1" fontId="49" fillId="0" borderId="17" xfId="42" applyNumberFormat="1" applyFont="1" applyFill="1" applyBorder="1" applyAlignment="1">
      <alignment horizontal="center" vertical="center"/>
    </xf>
    <xf numFmtId="0" fontId="49" fillId="0" borderId="48" xfId="42" applyFont="1" applyFill="1" applyBorder="1" applyAlignment="1">
      <alignment horizontal="left" vertical="center" wrapText="1" indent="1"/>
    </xf>
    <xf numFmtId="0" fontId="12" fillId="0" borderId="0" xfId="0" applyFont="1" applyBorder="1" applyAlignment="1">
      <alignment horizontal="center"/>
    </xf>
    <xf numFmtId="0" fontId="53" fillId="0" borderId="0" xfId="41" applyFont="1"/>
    <xf numFmtId="0" fontId="54" fillId="0" borderId="0" xfId="43" applyFont="1" applyAlignment="1">
      <alignment horizontal="left"/>
    </xf>
    <xf numFmtId="0" fontId="56" fillId="0" borderId="0" xfId="44" applyFont="1" applyBorder="1" applyAlignment="1" applyProtection="1">
      <alignment horizontal="left" vertical="center"/>
      <protection locked="0"/>
    </xf>
    <xf numFmtId="0" fontId="54" fillId="0" borderId="0" xfId="43" applyFont="1" applyAlignment="1">
      <alignment vertical="center"/>
    </xf>
    <xf numFmtId="0" fontId="6" fillId="5" borderId="1" xfId="0" applyFont="1" applyFill="1" applyBorder="1" applyAlignment="1">
      <alignment horizontal="center"/>
    </xf>
    <xf numFmtId="0" fontId="6" fillId="7" borderId="0" xfId="0" applyFont="1" applyFill="1" applyAlignment="1">
      <alignment horizontal="center"/>
    </xf>
    <xf numFmtId="0" fontId="6" fillId="10" borderId="0" xfId="0" applyFont="1" applyFill="1" applyAlignment="1">
      <alignment horizontal="center" wrapText="1"/>
    </xf>
    <xf numFmtId="43" fontId="6" fillId="0" borderId="0" xfId="50" applyFont="1" applyAlignment="1">
      <alignment horizontal="center" wrapText="1"/>
    </xf>
    <xf numFmtId="0" fontId="6" fillId="10" borderId="0" xfId="0" applyFont="1" applyFill="1" applyAlignment="1">
      <alignment horizontal="center"/>
    </xf>
    <xf numFmtId="0" fontId="21" fillId="6" borderId="0" xfId="0" applyFont="1" applyFill="1" applyAlignment="1">
      <alignment horizontal="center"/>
    </xf>
    <xf numFmtId="0" fontId="21" fillId="11" borderId="1" xfId="0" applyFont="1" applyFill="1" applyBorder="1" applyAlignment="1">
      <alignment horizontal="center"/>
    </xf>
    <xf numFmtId="0" fontId="21" fillId="11" borderId="0" xfId="0" applyFont="1" applyFill="1" applyAlignment="1">
      <alignment horizontal="center"/>
    </xf>
    <xf numFmtId="0" fontId="6" fillId="11" borderId="0" xfId="0" applyFont="1" applyFill="1" applyAlignment="1">
      <alignment horizontal="center"/>
    </xf>
    <xf numFmtId="0" fontId="6" fillId="4" borderId="1" xfId="0" applyFont="1" applyFill="1" applyBorder="1" applyAlignment="1">
      <alignment horizontal="center" wrapText="1"/>
    </xf>
    <xf numFmtId="0" fontId="6" fillId="2" borderId="0" xfId="0" applyFont="1" applyFill="1" applyAlignment="1">
      <alignment horizontal="center"/>
    </xf>
    <xf numFmtId="0" fontId="21" fillId="8" borderId="0" xfId="0" applyFont="1" applyFill="1" applyAlignment="1">
      <alignment horizontal="center" wrapText="1"/>
    </xf>
    <xf numFmtId="0" fontId="21" fillId="8" borderId="0" xfId="0" applyFont="1" applyFill="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0" fontId="6" fillId="0" borderId="56" xfId="0" applyFont="1" applyBorder="1" applyAlignment="1">
      <alignment horizontal="center"/>
    </xf>
  </cellXfs>
  <cellStyles count="52">
    <cellStyle name="Comma" xfId="50" builtinId="3"/>
    <cellStyle name="Comma 2" xfId="5"/>
    <cellStyle name="Comma 2 2" xfId="31"/>
    <cellStyle name="Comma 2 3" xfId="36"/>
    <cellStyle name="Comma 3" xfId="14"/>
    <cellStyle name="Comma 4" xfId="26"/>
    <cellStyle name="Currency" xfId="11" builtinId="4"/>
    <cellStyle name="Currency 2" xfId="6"/>
    <cellStyle name="Currency 2 2" xfId="16"/>
    <cellStyle name="Currency 3" xfId="23"/>
    <cellStyle name="Currency 3 2" xfId="51"/>
    <cellStyle name="Heading 1 2" xfId="45"/>
    <cellStyle name="Heading 2 2" xfId="46"/>
    <cellStyle name="Heading 3 2" xfId="43"/>
    <cellStyle name="Hyperlink" xfId="44" builtinId="8"/>
    <cellStyle name="Key Metric Header" xfId="47"/>
    <cellStyle name="Key Metric Percentage" xfId="49"/>
    <cellStyle name="Key Metric Value" xfId="48"/>
    <cellStyle name="Normal" xfId="0" builtinId="0"/>
    <cellStyle name="Normal 10" xfId="32"/>
    <cellStyle name="Normal 11" xfId="33"/>
    <cellStyle name="Normal 12" xfId="38"/>
    <cellStyle name="Normal 13" xfId="39"/>
    <cellStyle name="Normal 14" xfId="42"/>
    <cellStyle name="Normal 2" xfId="2"/>
    <cellStyle name="Normal 2 2" xfId="15"/>
    <cellStyle name="Normal 2 2 2" xfId="20"/>
    <cellStyle name="Normal 2 3" xfId="13"/>
    <cellStyle name="Normal 2 3 2" xfId="37"/>
    <cellStyle name="Normal 2 4" xfId="30"/>
    <cellStyle name="Normal 2 5" xfId="35"/>
    <cellStyle name="Normal 2 6" xfId="40"/>
    <cellStyle name="Normal 3" xfId="3"/>
    <cellStyle name="Normal 3 2" xfId="19"/>
    <cellStyle name="Normal 4" xfId="7"/>
    <cellStyle name="Normal 4 2" xfId="27"/>
    <cellStyle name="Normal 5" xfId="8"/>
    <cellStyle name="Normal 5 2" xfId="21"/>
    <cellStyle name="Normal 6" xfId="9"/>
    <cellStyle name="Normal 6 2" xfId="22"/>
    <cellStyle name="Normal 7" xfId="1"/>
    <cellStyle name="Normal 8" xfId="25"/>
    <cellStyle name="Normal 9" xfId="34"/>
    <cellStyle name="Percent" xfId="12" builtinId="5"/>
    <cellStyle name="Percent 2" xfId="4"/>
    <cellStyle name="Percent 2 2" xfId="17"/>
    <cellStyle name="Percent 2 2 2" xfId="28"/>
    <cellStyle name="Percent 2 3" xfId="29"/>
    <cellStyle name="Percent 3" xfId="10"/>
    <cellStyle name="Percent 3 2" xfId="24"/>
    <cellStyle name="Percent 4" xfId="18"/>
    <cellStyle name="Title 2" xfId="41"/>
  </cellStyles>
  <dxfs count="31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4"/>
        <color theme="1"/>
        <name val="Calibri"/>
        <scheme val="minor"/>
      </font>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2"/>
        </patternFill>
      </fill>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FFC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FFC000"/>
      </font>
      <fill>
        <patternFill patternType="none">
          <bgColor auto="1"/>
        </patternFill>
      </fill>
    </dxf>
    <dxf>
      <font>
        <color rgb="FF00B05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C00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C000"/>
      </font>
      <fill>
        <patternFill patternType="none">
          <bgColor auto="1"/>
        </patternFill>
      </fill>
    </dxf>
    <dxf>
      <font>
        <b/>
        <i val="0"/>
        <color rgb="FFFF0000"/>
      </font>
      <fill>
        <patternFill patternType="none">
          <bgColor auto="1"/>
        </patternFill>
      </fill>
    </dxf>
    <dxf>
      <font>
        <b/>
        <i val="0"/>
        <color rgb="FF00B050"/>
      </font>
      <fill>
        <patternFill patternType="none">
          <bgColor auto="1"/>
        </patternFill>
      </fill>
    </dxf>
    <dxf>
      <font>
        <b/>
        <i val="0"/>
        <color rgb="FFFFC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FFC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FFC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FFC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FFC000"/>
      </font>
      <fill>
        <patternFill patternType="none">
          <bgColor auto="1"/>
        </patternFill>
      </fill>
    </dxf>
    <dxf>
      <font>
        <b/>
        <i val="0"/>
        <color rgb="FFFF0000"/>
      </font>
      <fill>
        <patternFill patternType="none">
          <bgColor auto="1"/>
        </patternFill>
      </fill>
    </dxf>
    <dxf>
      <font>
        <b/>
        <i val="0"/>
        <color rgb="FF00B050"/>
      </font>
    </dxf>
    <dxf>
      <font>
        <b/>
        <i val="0"/>
        <color rgb="FFFFCC00"/>
      </font>
    </dxf>
    <dxf>
      <font>
        <b/>
        <i val="0"/>
        <color rgb="FFFF0000"/>
      </font>
      <fill>
        <patternFill patternType="none">
          <bgColor auto="1"/>
        </patternFill>
      </fill>
    </dxf>
    <dxf>
      <font>
        <b/>
        <i val="0"/>
        <color rgb="FF00B050"/>
      </font>
      <fill>
        <patternFill patternType="none">
          <bgColor auto="1"/>
        </patternFill>
      </fill>
    </dxf>
    <dxf>
      <font>
        <b/>
        <i val="0"/>
        <color rgb="FFFFC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b/>
        <i val="0"/>
        <color rgb="FFFF0000"/>
      </font>
      <fill>
        <patternFill patternType="none">
          <bgColor auto="1"/>
        </patternFill>
      </fill>
    </dxf>
    <dxf>
      <font>
        <b/>
        <i val="0"/>
        <color rgb="FF00B050"/>
      </font>
    </dxf>
    <dxf>
      <font>
        <b/>
        <i val="0"/>
        <color rgb="FFFFCC00"/>
      </font>
    </dxf>
    <dxf>
      <font>
        <b/>
        <i val="0"/>
        <color rgb="FFFFC000"/>
      </font>
    </dxf>
    <dxf>
      <font>
        <b/>
        <i val="0"/>
        <color rgb="FFFF0000"/>
      </font>
    </dxf>
    <dxf>
      <font>
        <b/>
        <i val="0"/>
        <color rgb="FF00B050"/>
      </font>
    </dxf>
    <dxf>
      <font>
        <b/>
        <i val="0"/>
        <color rgb="FFFFC000"/>
      </font>
    </dxf>
    <dxf>
      <font>
        <b/>
        <i val="0"/>
        <color rgb="FFFF0000"/>
      </font>
    </dxf>
    <dxf>
      <font>
        <b/>
        <i val="0"/>
        <color rgb="FF00B050"/>
      </font>
    </dxf>
    <dxf>
      <font>
        <b/>
        <i val="0"/>
        <color rgb="FFFFC000"/>
      </font>
    </dxf>
    <dxf>
      <font>
        <b/>
        <i val="0"/>
        <color rgb="FFFF0000"/>
      </font>
    </dxf>
    <dxf>
      <font>
        <b/>
        <i val="0"/>
        <color rgb="FF00B050"/>
      </font>
    </dxf>
    <dxf>
      <font>
        <color rgb="FF00B050"/>
      </font>
      <fill>
        <patternFill patternType="none">
          <bgColor auto="1"/>
        </patternFill>
      </fill>
    </dxf>
    <dxf>
      <font>
        <color rgb="FFFF000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s>
  <tableStyles count="0" defaultTableStyle="TableStyleMedium2" defaultPivotStyle="PivotStyleLight16"/>
  <colors>
    <mruColors>
      <color rgb="FFFFFF99"/>
      <color rgb="FFFFFF00"/>
      <color rgb="FFFF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266700</xdr:rowOff>
    </xdr:from>
    <xdr:to>
      <xdr:col>3</xdr:col>
      <xdr:colOff>387350</xdr:colOff>
      <xdr:row>0</xdr:row>
      <xdr:rowOff>2499691</xdr:rowOff>
    </xdr:to>
    <xdr:pic>
      <xdr:nvPicPr>
        <xdr:cNvPr id="4" name="Picture 3" descr="http://www.clker.com/cliparts/7/o/m/z/h/o/open-folder-blue.svg.hi.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239" y="266700"/>
          <a:ext cx="3281361" cy="22329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867530</xdr:colOff>
      <xdr:row>0</xdr:row>
      <xdr:rowOff>938313</xdr:rowOff>
    </xdr:from>
    <xdr:to>
      <xdr:col>3</xdr:col>
      <xdr:colOff>208718</xdr:colOff>
      <xdr:row>0</xdr:row>
      <xdr:rowOff>1784583</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rot="19962743">
          <a:off x="1478718" y="938313"/>
          <a:ext cx="2254250" cy="846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Internal</a:t>
          </a:r>
          <a:r>
            <a:rPr lang="en-US" sz="1800" b="1" baseline="0"/>
            <a:t> Controls Data</a:t>
          </a:r>
          <a:endParaRPr lang="en-US" sz="18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87</xdr:row>
      <xdr:rowOff>38100</xdr:rowOff>
    </xdr:from>
    <xdr:to>
      <xdr:col>1</xdr:col>
      <xdr:colOff>2809875</xdr:colOff>
      <xdr:row>90</xdr:row>
      <xdr:rowOff>47625</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14154150"/>
          <a:ext cx="2657475" cy="581025"/>
        </a:xfrm>
        <a:prstGeom prst="rect">
          <a:avLst/>
        </a:prstGeom>
        <a:noFill/>
        <a:ln>
          <a:noFill/>
        </a:ln>
      </xdr:spPr>
    </xdr:pic>
    <xdr:clientData/>
  </xdr:twoCellAnchor>
  <xdr:twoCellAnchor editAs="oneCell">
    <xdr:from>
      <xdr:col>1</xdr:col>
      <xdr:colOff>152400</xdr:colOff>
      <xdr:row>87</xdr:row>
      <xdr:rowOff>38100</xdr:rowOff>
    </xdr:from>
    <xdr:to>
      <xdr:col>1</xdr:col>
      <xdr:colOff>2809875</xdr:colOff>
      <xdr:row>90</xdr:row>
      <xdr:rowOff>47625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16440150"/>
          <a:ext cx="2657475" cy="581025"/>
        </a:xfrm>
        <a:prstGeom prst="rect">
          <a:avLst/>
        </a:prstGeom>
        <a:noFill/>
        <a:ln>
          <a:noFill/>
        </a:ln>
      </xdr:spPr>
    </xdr:pic>
    <xdr:clientData/>
  </xdr:twoCellAnchor>
</xdr:wsDr>
</file>

<file path=xl/tables/table1.xml><?xml version="1.0" encoding="utf-8"?>
<table xmlns="http://schemas.openxmlformats.org/spreadsheetml/2006/main" id="1" name="CertifyingUnits" displayName="CertifyingUnits" ref="A1:A47" totalsRowShown="0" headerRowDxfId="2" dataDxfId="1">
  <autoFilter ref="A1:A47"/>
  <sortState ref="A2:B47">
    <sortCondition ref="A2"/>
  </sortState>
  <tableColumns count="1">
    <tableColumn id="1" name="Uni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9"/>
  <sheetViews>
    <sheetView showGridLines="0" tabSelected="1" zoomScale="80" zoomScaleNormal="80" workbookViewId="0">
      <selection activeCell="D7" sqref="D7"/>
    </sheetView>
  </sheetViews>
  <sheetFormatPr defaultRowHeight="14.5" x14ac:dyDescent="0.35"/>
  <cols>
    <col min="2" max="2" width="28.7265625" customWidth="1"/>
    <col min="3" max="3" width="13" customWidth="1"/>
    <col min="4" max="4" width="28.7265625" customWidth="1"/>
  </cols>
  <sheetData>
    <row r="1" spans="2:4" s="4" customFormat="1" ht="264.64999999999998" customHeight="1" x14ac:dyDescent="0.7">
      <c r="B1" s="223"/>
    </row>
    <row r="2" spans="2:4" hidden="1" x14ac:dyDescent="0.35"/>
    <row r="3" spans="2:4" ht="18.5" x14ac:dyDescent="0.45">
      <c r="B3" s="342" t="s">
        <v>307</v>
      </c>
      <c r="C3" s="342"/>
      <c r="D3" s="342"/>
    </row>
    <row r="4" spans="2:4" ht="23.5" x14ac:dyDescent="0.55000000000000004">
      <c r="B4" s="343" t="s">
        <v>16</v>
      </c>
      <c r="C4" s="343"/>
      <c r="D4" s="343"/>
    </row>
    <row r="6" spans="2:4" ht="19" thickBot="1" x14ac:dyDescent="0.5">
      <c r="B6" s="342" t="s">
        <v>310</v>
      </c>
      <c r="C6" s="342"/>
      <c r="D6" s="342"/>
    </row>
    <row r="7" spans="2:4" ht="57.75" customHeight="1" thickBot="1" x14ac:dyDescent="0.4">
      <c r="B7" s="313" t="s">
        <v>311</v>
      </c>
      <c r="D7" s="313" t="s">
        <v>309</v>
      </c>
    </row>
    <row r="9" spans="2:4" ht="93" x14ac:dyDescent="0.35">
      <c r="B9" s="314" t="s">
        <v>312</v>
      </c>
      <c r="C9" s="63"/>
      <c r="D9" s="314" t="s">
        <v>393</v>
      </c>
    </row>
  </sheetData>
  <mergeCells count="3">
    <mergeCell ref="B3:D3"/>
    <mergeCell ref="B4:D4"/>
    <mergeCell ref="B6:D6"/>
  </mergeCells>
  <hyperlinks>
    <hyperlink ref="B7" location="'Yr Over Yr Metrics and Trends'!B3" display="Report One"/>
    <hyperlink ref="D7" location="'5 Year ScoreCard'!A2" display="5 Year ScoreCard"/>
  </hyperlinks>
  <pageMargins left="0.7" right="0.7" top="0.75" bottom="0.75" header="0.3" footer="0.3"/>
  <pageSetup orientation="portrait"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showErrorMessage="1" errorTitle="Invalid Selection" error="Please select Unit from Dropdown List">
          <x14:formula1>
            <xm:f>'Tables for Filters'!$A$2:$A$47</xm:f>
          </x14:formula1>
          <xm:sqref>B4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AK54"/>
  <sheetViews>
    <sheetView workbookViewId="0">
      <pane xSplit="1" ySplit="5" topLeftCell="B6" activePane="bottomRight" state="frozen"/>
      <selection activeCell="D5" sqref="D5:E5"/>
      <selection pane="topRight" activeCell="D5" sqref="D5:E5"/>
      <selection pane="bottomLeft" activeCell="D5" sqref="D5:E5"/>
      <selection pane="bottomRight" activeCell="D5" sqref="D5:E5"/>
    </sheetView>
  </sheetViews>
  <sheetFormatPr defaultRowHeight="14.5" x14ac:dyDescent="0.35"/>
  <cols>
    <col min="1" max="1" width="49.26953125" bestFit="1" customWidth="1"/>
    <col min="2" max="2" width="14.26953125" bestFit="1" customWidth="1"/>
    <col min="3" max="3" width="12.54296875" bestFit="1" customWidth="1"/>
    <col min="4" max="4" width="6.1796875" bestFit="1" customWidth="1"/>
    <col min="5" max="5" width="11.54296875" bestFit="1" customWidth="1"/>
    <col min="6" max="6" width="6.1796875" bestFit="1" customWidth="1"/>
    <col min="7" max="7" width="1.7265625" customWidth="1"/>
    <col min="8" max="8" width="14.26953125" bestFit="1" customWidth="1"/>
    <col min="9" max="9" width="12.54296875" bestFit="1" customWidth="1"/>
    <col min="10" max="10" width="6.1796875" bestFit="1" customWidth="1"/>
    <col min="11" max="11" width="11.54296875" bestFit="1" customWidth="1"/>
    <col min="12" max="12" width="6.1796875" bestFit="1" customWidth="1"/>
    <col min="13" max="13" width="1.7265625" customWidth="1"/>
    <col min="14" max="14" width="14.26953125" bestFit="1" customWidth="1"/>
    <col min="15" max="15" width="12.54296875" bestFit="1" customWidth="1"/>
    <col min="16" max="16" width="6.1796875" bestFit="1" customWidth="1"/>
    <col min="17" max="17" width="11.54296875" bestFit="1" customWidth="1"/>
    <col min="18" max="18" width="6.1796875" bestFit="1" customWidth="1"/>
    <col min="19" max="19" width="1.7265625" customWidth="1"/>
    <col min="20" max="20" width="14.26953125" bestFit="1" customWidth="1"/>
    <col min="21" max="21" width="12.54296875" bestFit="1" customWidth="1"/>
    <col min="22" max="22" width="6.1796875" bestFit="1" customWidth="1"/>
    <col min="23" max="23" width="11.54296875" bestFit="1" customWidth="1"/>
    <col min="24" max="24" width="6.1796875" bestFit="1" customWidth="1"/>
    <col min="25" max="25" width="1.7265625" customWidth="1"/>
    <col min="26" max="27" width="14.26953125" customWidth="1"/>
    <col min="28" max="28" width="7.7265625" bestFit="1" customWidth="1"/>
    <col min="29" max="29" width="14.26953125" customWidth="1"/>
    <col min="30" max="30" width="7.7265625" bestFit="1" customWidth="1"/>
    <col min="32" max="32" width="30.453125" customWidth="1"/>
    <col min="33" max="33" width="14.26953125" style="218" bestFit="1" customWidth="1"/>
    <col min="34" max="34" width="11.54296875" style="218" customWidth="1"/>
    <col min="35" max="35" width="8.7265625" style="217"/>
    <col min="36" max="36" width="14.26953125" style="218" bestFit="1" customWidth="1"/>
    <col min="37" max="37" width="8.7265625" style="217"/>
  </cols>
  <sheetData>
    <row r="1" spans="1:37" x14ac:dyDescent="0.35">
      <c r="A1" s="29">
        <v>1</v>
      </c>
      <c r="B1" s="29">
        <v>2</v>
      </c>
      <c r="C1" s="29">
        <v>3</v>
      </c>
      <c r="D1" s="29">
        <v>4</v>
      </c>
      <c r="E1" s="29">
        <v>5</v>
      </c>
      <c r="F1" s="29">
        <v>6</v>
      </c>
      <c r="G1" s="29">
        <v>7</v>
      </c>
      <c r="H1" s="29">
        <v>8</v>
      </c>
      <c r="I1" s="29">
        <v>9</v>
      </c>
      <c r="J1" s="29">
        <v>10</v>
      </c>
      <c r="K1" s="29">
        <v>11</v>
      </c>
      <c r="L1" s="29">
        <v>12</v>
      </c>
      <c r="M1" s="29">
        <v>13</v>
      </c>
      <c r="N1" s="29">
        <v>14</v>
      </c>
      <c r="O1" s="29">
        <v>15</v>
      </c>
      <c r="P1" s="29">
        <v>16</v>
      </c>
      <c r="Q1" s="29">
        <v>17</v>
      </c>
      <c r="R1" s="29">
        <v>18</v>
      </c>
      <c r="S1" s="29">
        <v>19</v>
      </c>
      <c r="T1" s="29">
        <v>20</v>
      </c>
      <c r="U1" s="29">
        <v>21</v>
      </c>
      <c r="V1" s="29">
        <v>22</v>
      </c>
      <c r="W1" s="29">
        <v>23</v>
      </c>
      <c r="X1" s="29">
        <v>24</v>
      </c>
      <c r="Y1" s="29">
        <v>25</v>
      </c>
      <c r="Z1" s="29">
        <v>26</v>
      </c>
      <c r="AA1" s="29">
        <v>27</v>
      </c>
      <c r="AB1" s="29">
        <v>28</v>
      </c>
      <c r="AC1" s="29">
        <v>29</v>
      </c>
      <c r="AD1" s="29">
        <v>30</v>
      </c>
    </row>
    <row r="2" spans="1:37" x14ac:dyDescent="0.35">
      <c r="B2" s="31"/>
      <c r="C2" s="31"/>
      <c r="D2" s="31"/>
      <c r="E2" s="31"/>
      <c r="F2" s="31"/>
      <c r="G2" s="37"/>
      <c r="H2" s="31"/>
      <c r="I2" s="31"/>
      <c r="J2" s="31"/>
      <c r="K2" s="31"/>
      <c r="L2" s="31"/>
      <c r="M2" s="37"/>
      <c r="N2" s="31"/>
      <c r="O2" s="31"/>
      <c r="P2" s="31"/>
      <c r="Q2" s="31"/>
      <c r="R2" s="31"/>
      <c r="S2" s="37"/>
      <c r="T2" s="31"/>
      <c r="U2" s="31"/>
      <c r="V2" s="31"/>
      <c r="W2" s="31"/>
      <c r="X2" s="31"/>
      <c r="Y2" s="37"/>
      <c r="Z2" s="31"/>
      <c r="AA2" s="31"/>
      <c r="AB2" s="31"/>
      <c r="AC2" s="31"/>
      <c r="AD2" s="31"/>
    </row>
    <row r="3" spans="1:37" x14ac:dyDescent="0.35">
      <c r="B3" s="31" t="s">
        <v>121</v>
      </c>
      <c r="C3" s="419" t="s">
        <v>122</v>
      </c>
      <c r="D3" s="419"/>
      <c r="E3" s="419" t="s">
        <v>123</v>
      </c>
      <c r="F3" s="419"/>
      <c r="G3" s="37"/>
      <c r="H3" s="31" t="s">
        <v>121</v>
      </c>
      <c r="I3" s="419" t="s">
        <v>122</v>
      </c>
      <c r="J3" s="419"/>
      <c r="K3" s="419" t="s">
        <v>123</v>
      </c>
      <c r="L3" s="419"/>
      <c r="M3" s="37"/>
      <c r="N3" s="31" t="s">
        <v>121</v>
      </c>
      <c r="O3" s="419" t="s">
        <v>122</v>
      </c>
      <c r="P3" s="419"/>
      <c r="Q3" s="419" t="s">
        <v>123</v>
      </c>
      <c r="R3" s="419"/>
      <c r="S3" s="37"/>
      <c r="T3" s="31" t="s">
        <v>121</v>
      </c>
      <c r="U3" s="419" t="s">
        <v>122</v>
      </c>
      <c r="V3" s="419"/>
      <c r="W3" s="419" t="s">
        <v>123</v>
      </c>
      <c r="X3" s="419"/>
      <c r="Y3" s="37"/>
      <c r="Z3" s="31" t="s">
        <v>121</v>
      </c>
      <c r="AA3" s="419" t="s">
        <v>122</v>
      </c>
      <c r="AB3" s="419"/>
      <c r="AC3" s="419" t="s">
        <v>123</v>
      </c>
      <c r="AD3" s="419"/>
    </row>
    <row r="4" spans="1:37" x14ac:dyDescent="0.35">
      <c r="B4" s="15">
        <v>2017</v>
      </c>
      <c r="C4" s="15">
        <v>2017</v>
      </c>
      <c r="D4" s="15">
        <v>2017</v>
      </c>
      <c r="E4" s="15">
        <v>2017</v>
      </c>
      <c r="F4" s="15">
        <v>2017</v>
      </c>
      <c r="G4" s="15"/>
      <c r="H4" s="15">
        <v>2018</v>
      </c>
      <c r="I4" s="15">
        <v>2018</v>
      </c>
      <c r="J4" s="15">
        <v>2018</v>
      </c>
      <c r="K4" s="15">
        <v>2018</v>
      </c>
      <c r="L4" s="15">
        <v>2018</v>
      </c>
      <c r="M4" s="15"/>
      <c r="N4" s="15">
        <v>2019</v>
      </c>
      <c r="O4" s="15">
        <v>2019</v>
      </c>
      <c r="P4" s="15">
        <v>2019</v>
      </c>
      <c r="Q4" s="15">
        <v>2019</v>
      </c>
      <c r="R4" s="15">
        <v>2019</v>
      </c>
      <c r="S4" s="15"/>
      <c r="T4" s="15">
        <v>2020</v>
      </c>
      <c r="U4" s="15">
        <v>2020</v>
      </c>
      <c r="V4" s="15">
        <v>2020</v>
      </c>
      <c r="W4" s="15">
        <v>2020</v>
      </c>
      <c r="X4" s="15">
        <v>2020</v>
      </c>
      <c r="Y4" s="15"/>
      <c r="Z4" s="15">
        <v>2021</v>
      </c>
      <c r="AA4" s="15">
        <v>2021</v>
      </c>
      <c r="AB4" s="15">
        <v>2021</v>
      </c>
      <c r="AC4" s="15">
        <v>2021</v>
      </c>
      <c r="AD4" s="15">
        <v>2021</v>
      </c>
    </row>
    <row r="5" spans="1:37" ht="65" x14ac:dyDescent="0.35">
      <c r="A5" s="39" t="s">
        <v>36</v>
      </c>
      <c r="B5" s="40" t="s">
        <v>41</v>
      </c>
      <c r="C5" s="40" t="s">
        <v>41</v>
      </c>
      <c r="D5" s="40" t="s">
        <v>43</v>
      </c>
      <c r="E5" s="40" t="s">
        <v>41</v>
      </c>
      <c r="F5" s="40" t="s">
        <v>43</v>
      </c>
      <c r="G5" s="40"/>
      <c r="H5" s="40" t="s">
        <v>41</v>
      </c>
      <c r="I5" s="40" t="s">
        <v>41</v>
      </c>
      <c r="J5" s="40" t="s">
        <v>43</v>
      </c>
      <c r="K5" s="40" t="s">
        <v>41</v>
      </c>
      <c r="L5" s="40" t="s">
        <v>43</v>
      </c>
      <c r="M5" s="40"/>
      <c r="N5" s="40" t="s">
        <v>41</v>
      </c>
      <c r="O5" s="40" t="s">
        <v>41</v>
      </c>
      <c r="P5" s="40" t="s">
        <v>43</v>
      </c>
      <c r="Q5" s="40" t="s">
        <v>41</v>
      </c>
      <c r="R5" s="40" t="s">
        <v>43</v>
      </c>
      <c r="S5" s="40"/>
      <c r="T5" s="40" t="s">
        <v>41</v>
      </c>
      <c r="U5" s="40" t="s">
        <v>41</v>
      </c>
      <c r="V5" s="40" t="s">
        <v>43</v>
      </c>
      <c r="W5" s="40" t="s">
        <v>41</v>
      </c>
      <c r="X5" s="40" t="s">
        <v>43</v>
      </c>
      <c r="Y5" s="40"/>
      <c r="Z5" s="40" t="s">
        <v>41</v>
      </c>
      <c r="AA5" s="40" t="s">
        <v>41</v>
      </c>
      <c r="AB5" s="40" t="s">
        <v>43</v>
      </c>
      <c r="AC5" s="40" t="s">
        <v>41</v>
      </c>
      <c r="AD5" s="40" t="s">
        <v>43</v>
      </c>
      <c r="AF5" s="278" t="s">
        <v>36</v>
      </c>
      <c r="AG5" s="279" t="s">
        <v>300</v>
      </c>
      <c r="AH5" s="279" t="s">
        <v>301</v>
      </c>
      <c r="AI5" s="319" t="s">
        <v>378</v>
      </c>
      <c r="AJ5" s="279" t="s">
        <v>379</v>
      </c>
      <c r="AK5" s="319" t="s">
        <v>380</v>
      </c>
    </row>
    <row r="6" spans="1:37" x14ac:dyDescent="0.35">
      <c r="A6" s="16" t="s">
        <v>345</v>
      </c>
      <c r="B6" s="85">
        <v>12649495.829999998</v>
      </c>
      <c r="C6" s="85">
        <v>362037.18</v>
      </c>
      <c r="D6" s="26">
        <v>2.8620680607789887E-2</v>
      </c>
      <c r="E6" s="85">
        <v>114238.96999999999</v>
      </c>
      <c r="F6" s="26">
        <v>8.9876006167381121E-3</v>
      </c>
      <c r="G6" s="26"/>
      <c r="H6" s="85">
        <v>13185040.559999999</v>
      </c>
      <c r="I6" s="85">
        <v>945187.65000000014</v>
      </c>
      <c r="J6" s="26">
        <v>7.1686366507468693E-2</v>
      </c>
      <c r="K6" s="85">
        <v>307507.40000000002</v>
      </c>
      <c r="L6" s="26">
        <v>2.3322446267848268E-2</v>
      </c>
      <c r="M6" s="26"/>
      <c r="N6" s="85">
        <v>13878045.92</v>
      </c>
      <c r="O6" s="85">
        <v>886415.30000000016</v>
      </c>
      <c r="P6" s="26">
        <v>6.3871765889069787E-2</v>
      </c>
      <c r="Q6" s="85">
        <v>203517.56</v>
      </c>
      <c r="R6" s="26">
        <v>1.4664712969907798E-2</v>
      </c>
      <c r="S6" s="26"/>
      <c r="T6" s="85">
        <v>13848978.310000001</v>
      </c>
      <c r="U6" s="85">
        <v>130851.96</v>
      </c>
      <c r="V6" s="26">
        <v>9.4484919443851741E-3</v>
      </c>
      <c r="W6" s="85">
        <v>9378.32</v>
      </c>
      <c r="X6" s="26">
        <v>6.7718497278807562E-4</v>
      </c>
      <c r="Y6" s="26"/>
      <c r="Z6" s="89">
        <v>13056162.939999999</v>
      </c>
      <c r="AA6" s="89">
        <v>586032.43999999994</v>
      </c>
      <c r="AB6" s="82">
        <f t="shared" ref="AB6:AB51" si="0">AA6/Z6</f>
        <v>4.4885502937817963E-2</v>
      </c>
      <c r="AC6" s="89">
        <v>323680.49999999994</v>
      </c>
      <c r="AD6" s="82">
        <f t="shared" ref="AD6:AD51" si="1">AC6/Z6</f>
        <v>2.4791395564491933E-2</v>
      </c>
      <c r="AE6" s="155" t="str">
        <f t="shared" ref="AE6:AE51" si="2">IF(AF6=A6,"OK","No")</f>
        <v>OK</v>
      </c>
      <c r="AF6" s="280" t="s">
        <v>345</v>
      </c>
      <c r="AG6" s="281">
        <v>13056162.939999999</v>
      </c>
      <c r="AH6" s="281">
        <v>586032.43999999994</v>
      </c>
      <c r="AI6" s="217">
        <v>4.4885502937817963E-2</v>
      </c>
      <c r="AJ6" s="281">
        <v>323680.49999999994</v>
      </c>
      <c r="AK6" s="217">
        <v>2.4791395564491933E-2</v>
      </c>
    </row>
    <row r="7" spans="1:37" x14ac:dyDescent="0.35">
      <c r="A7" s="16" t="s">
        <v>21</v>
      </c>
      <c r="B7" s="85">
        <v>50322043.169999979</v>
      </c>
      <c r="C7" s="85">
        <v>61809.47</v>
      </c>
      <c r="D7" s="26">
        <v>1.2282782277180744E-3</v>
      </c>
      <c r="E7" s="85">
        <v>0</v>
      </c>
      <c r="F7" s="26">
        <v>0</v>
      </c>
      <c r="G7" s="26"/>
      <c r="H7" s="85">
        <v>54912298.190000013</v>
      </c>
      <c r="I7" s="85">
        <v>357417.02999999997</v>
      </c>
      <c r="J7" s="26">
        <v>6.5088703583906565E-3</v>
      </c>
      <c r="K7" s="85">
        <v>165616.91999999998</v>
      </c>
      <c r="L7" s="26">
        <v>3.0160260171037644E-3</v>
      </c>
      <c r="M7" s="26"/>
      <c r="N7" s="85">
        <v>56624244.56000001</v>
      </c>
      <c r="O7" s="85">
        <v>58747.360000000001</v>
      </c>
      <c r="P7" s="26">
        <v>1.0374948126283662E-3</v>
      </c>
      <c r="Q7" s="85">
        <v>17309.02</v>
      </c>
      <c r="R7" s="26">
        <v>3.0568213553222893E-4</v>
      </c>
      <c r="S7" s="26"/>
      <c r="T7" s="85">
        <v>56844070.82</v>
      </c>
      <c r="U7" s="85">
        <v>89904.559999999983</v>
      </c>
      <c r="V7" s="26">
        <v>1.5815996057827722E-3</v>
      </c>
      <c r="W7" s="85">
        <v>42680.26</v>
      </c>
      <c r="X7" s="26">
        <v>7.5083046277859807E-4</v>
      </c>
      <c r="Y7" s="26"/>
      <c r="Z7" s="89">
        <v>51188988.070000008</v>
      </c>
      <c r="AA7" s="89">
        <v>133606.81999999998</v>
      </c>
      <c r="AB7" s="82">
        <f t="shared" si="0"/>
        <v>2.6100695684254413E-3</v>
      </c>
      <c r="AC7" s="89">
        <v>94353.17</v>
      </c>
      <c r="AD7" s="82">
        <f t="shared" si="1"/>
        <v>1.8432317878793337E-3</v>
      </c>
      <c r="AE7" s="155" t="str">
        <f t="shared" si="2"/>
        <v>OK</v>
      </c>
      <c r="AF7" s="282" t="s">
        <v>21</v>
      </c>
      <c r="AG7" s="283">
        <v>51188988.070000008</v>
      </c>
      <c r="AH7" s="283">
        <v>133606.81999999998</v>
      </c>
      <c r="AI7" s="217">
        <v>2.6100695684254413E-3</v>
      </c>
      <c r="AJ7" s="283">
        <v>94353.17</v>
      </c>
      <c r="AK7" s="217">
        <v>1.8432317878793337E-3</v>
      </c>
    </row>
    <row r="8" spans="1:37" x14ac:dyDescent="0.35">
      <c r="A8" s="16" t="s">
        <v>357</v>
      </c>
      <c r="B8" s="85">
        <v>1993947.72</v>
      </c>
      <c r="C8" s="85">
        <v>0</v>
      </c>
      <c r="D8" s="26">
        <v>0</v>
      </c>
      <c r="E8" s="85">
        <v>0</v>
      </c>
      <c r="F8" s="26">
        <v>0</v>
      </c>
      <c r="G8" s="26"/>
      <c r="H8" s="85">
        <v>1999215.71</v>
      </c>
      <c r="I8" s="85">
        <v>0</v>
      </c>
      <c r="J8" s="26">
        <v>0</v>
      </c>
      <c r="K8" s="85">
        <v>0</v>
      </c>
      <c r="L8" s="26">
        <v>0</v>
      </c>
      <c r="M8" s="26"/>
      <c r="N8" s="85">
        <v>1996243.24</v>
      </c>
      <c r="O8" s="85">
        <v>2874.25</v>
      </c>
      <c r="P8" s="26">
        <v>1.4398295470245399E-3</v>
      </c>
      <c r="Q8" s="85">
        <v>2874.25</v>
      </c>
      <c r="R8" s="26">
        <v>1.4398295470245399E-3</v>
      </c>
      <c r="S8" s="26"/>
      <c r="T8" s="85">
        <v>2151707.7400000002</v>
      </c>
      <c r="U8" s="85"/>
      <c r="V8" s="26">
        <v>0</v>
      </c>
      <c r="W8" s="85"/>
      <c r="X8" s="26">
        <v>0</v>
      </c>
      <c r="Y8" s="26"/>
      <c r="Z8" s="89">
        <v>1915376.06</v>
      </c>
      <c r="AA8" s="89"/>
      <c r="AB8" s="82">
        <f t="shared" si="0"/>
        <v>0</v>
      </c>
      <c r="AC8" s="89"/>
      <c r="AD8" s="82">
        <f t="shared" si="1"/>
        <v>0</v>
      </c>
      <c r="AE8" s="155" t="str">
        <f t="shared" si="2"/>
        <v>OK</v>
      </c>
      <c r="AF8" s="280" t="s">
        <v>357</v>
      </c>
      <c r="AG8" s="283">
        <v>1915376.06</v>
      </c>
      <c r="AH8" s="283"/>
      <c r="AI8" s="217">
        <v>0</v>
      </c>
      <c r="AJ8" s="283"/>
      <c r="AK8" s="217">
        <v>0</v>
      </c>
    </row>
    <row r="9" spans="1:37" x14ac:dyDescent="0.35">
      <c r="A9" s="16" t="s">
        <v>0</v>
      </c>
      <c r="B9" s="85">
        <v>197170909.93000013</v>
      </c>
      <c r="C9" s="85">
        <v>19718070.820000004</v>
      </c>
      <c r="D9" s="26">
        <v>0.10000496942982279</v>
      </c>
      <c r="E9" s="85">
        <v>3621757.5300000003</v>
      </c>
      <c r="F9" s="26">
        <v>2.0657698027090405E-2</v>
      </c>
      <c r="G9" s="26"/>
      <c r="H9" s="85">
        <v>205814513.16999999</v>
      </c>
      <c r="I9" s="85">
        <v>18244188.780000001</v>
      </c>
      <c r="J9" s="26">
        <v>8.8643840023713727E-2</v>
      </c>
      <c r="K9" s="85">
        <v>3433053.7200000007</v>
      </c>
      <c r="L9" s="26">
        <v>1.6680328647010158E-2</v>
      </c>
      <c r="M9" s="26"/>
      <c r="N9" s="85">
        <v>222096955.73999998</v>
      </c>
      <c r="O9" s="85">
        <v>19492575.310000066</v>
      </c>
      <c r="P9" s="26">
        <v>8.7766062551614815E-2</v>
      </c>
      <c r="Q9" s="85">
        <v>2861051.3699999992</v>
      </c>
      <c r="R9" s="26">
        <v>1.288199273361188E-2</v>
      </c>
      <c r="S9" s="26"/>
      <c r="T9" s="85">
        <v>229760373.06</v>
      </c>
      <c r="U9" s="85">
        <v>19771551.430000078</v>
      </c>
      <c r="V9" s="26">
        <v>8.6052921862365281E-2</v>
      </c>
      <c r="W9" s="85">
        <v>2555312.4299999997</v>
      </c>
      <c r="X9" s="26">
        <v>1.1121641194988404E-2</v>
      </c>
      <c r="Y9" s="26"/>
      <c r="Z9" s="89">
        <v>233257322.98999995</v>
      </c>
      <c r="AA9" s="89">
        <v>19243813.369999968</v>
      </c>
      <c r="AB9" s="82">
        <f t="shared" si="0"/>
        <v>8.250036107473023E-2</v>
      </c>
      <c r="AC9" s="89">
        <v>3500549.2499999953</v>
      </c>
      <c r="AD9" s="82">
        <f t="shared" si="1"/>
        <v>1.5007242667146911E-2</v>
      </c>
      <c r="AE9" s="155" t="str">
        <f t="shared" si="2"/>
        <v>OK</v>
      </c>
      <c r="AF9" s="280" t="s">
        <v>0</v>
      </c>
      <c r="AG9" s="283">
        <v>233257322.98999995</v>
      </c>
      <c r="AH9" s="283">
        <v>19243813.369999968</v>
      </c>
      <c r="AI9" s="217">
        <v>8.250036107473023E-2</v>
      </c>
      <c r="AJ9" s="283">
        <v>3500549.2499999953</v>
      </c>
      <c r="AK9" s="217">
        <v>1.5007242667146911E-2</v>
      </c>
    </row>
    <row r="10" spans="1:37" x14ac:dyDescent="0.35">
      <c r="A10" s="16" t="s">
        <v>1</v>
      </c>
      <c r="B10" s="85">
        <v>276517597.00999999</v>
      </c>
      <c r="C10" s="85">
        <v>14849705.91</v>
      </c>
      <c r="D10" s="26">
        <v>5.3702571086146733E-2</v>
      </c>
      <c r="E10" s="85">
        <v>3658315.43</v>
      </c>
      <c r="F10" s="26">
        <v>1.4512928237609496E-2</v>
      </c>
      <c r="G10" s="26"/>
      <c r="H10" s="85">
        <v>289788585.03999972</v>
      </c>
      <c r="I10" s="85">
        <v>12251112.340000002</v>
      </c>
      <c r="J10" s="26">
        <v>4.2276034918038517E-2</v>
      </c>
      <c r="K10" s="85">
        <v>2580453.16</v>
      </c>
      <c r="L10" s="26">
        <v>8.9046059548681614E-3</v>
      </c>
      <c r="M10" s="26"/>
      <c r="N10" s="85">
        <v>302789571.60999995</v>
      </c>
      <c r="O10" s="85">
        <v>15394524.750000043</v>
      </c>
      <c r="P10" s="26">
        <v>5.0842321511087411E-2</v>
      </c>
      <c r="Q10" s="85">
        <v>4493795.6499999948</v>
      </c>
      <c r="R10" s="26">
        <v>1.4841315789396171E-2</v>
      </c>
      <c r="S10" s="26"/>
      <c r="T10" s="85">
        <v>311895724.31</v>
      </c>
      <c r="U10" s="85">
        <v>15257157.940000087</v>
      </c>
      <c r="V10" s="26">
        <v>4.8917496300255991E-2</v>
      </c>
      <c r="W10" s="85">
        <v>4386916.5600000015</v>
      </c>
      <c r="X10" s="26">
        <v>1.4065330872056934E-2</v>
      </c>
      <c r="Y10" s="26"/>
      <c r="Z10" s="89">
        <v>314547422.75999999</v>
      </c>
      <c r="AA10" s="89">
        <v>12647675.000000015</v>
      </c>
      <c r="AB10" s="82">
        <f t="shared" si="0"/>
        <v>4.0209119785572699E-2</v>
      </c>
      <c r="AC10" s="89">
        <v>2447345.98</v>
      </c>
      <c r="AD10" s="82">
        <f t="shared" si="1"/>
        <v>7.7805310198561933E-3</v>
      </c>
      <c r="AE10" s="155" t="str">
        <f t="shared" si="2"/>
        <v>OK</v>
      </c>
      <c r="AF10" s="284" t="s">
        <v>1</v>
      </c>
      <c r="AG10" s="283">
        <v>314547422.75999999</v>
      </c>
      <c r="AH10" s="283">
        <v>12647675.000000015</v>
      </c>
      <c r="AI10" s="217">
        <v>4.0209119785572699E-2</v>
      </c>
      <c r="AJ10" s="283">
        <v>2447345.98</v>
      </c>
      <c r="AK10" s="217">
        <v>7.7805310198561933E-3</v>
      </c>
    </row>
    <row r="11" spans="1:37" x14ac:dyDescent="0.35">
      <c r="A11" s="16" t="s">
        <v>2</v>
      </c>
      <c r="B11" s="85">
        <v>16985109.920000002</v>
      </c>
      <c r="C11" s="85">
        <v>2070858.76</v>
      </c>
      <c r="D11" s="26">
        <v>0.12192201108816844</v>
      </c>
      <c r="E11" s="85">
        <v>374717.75</v>
      </c>
      <c r="F11" s="26">
        <v>2.6257319318131245E-2</v>
      </c>
      <c r="G11" s="26"/>
      <c r="H11" s="85">
        <v>18654367.02</v>
      </c>
      <c r="I11" s="85">
        <v>2395799.34</v>
      </c>
      <c r="J11" s="26">
        <v>0.12843101765025741</v>
      </c>
      <c r="K11" s="85">
        <v>650795.63</v>
      </c>
      <c r="L11" s="26">
        <v>3.4887039013559627E-2</v>
      </c>
      <c r="M11" s="26"/>
      <c r="N11" s="85">
        <v>19389770.449999999</v>
      </c>
      <c r="O11" s="85">
        <v>1522995.0799999989</v>
      </c>
      <c r="P11" s="26">
        <v>7.854631822111123E-2</v>
      </c>
      <c r="Q11" s="85">
        <v>333366.76000000007</v>
      </c>
      <c r="R11" s="26">
        <v>1.7192919372596288E-2</v>
      </c>
      <c r="S11" s="26"/>
      <c r="T11" s="85">
        <v>19568974.52</v>
      </c>
      <c r="U11" s="85">
        <v>2209772.760000003</v>
      </c>
      <c r="V11" s="26">
        <v>0.11292225649032135</v>
      </c>
      <c r="W11" s="85">
        <v>712935.42999999982</v>
      </c>
      <c r="X11" s="26">
        <v>3.6431925917802248E-2</v>
      </c>
      <c r="Y11" s="26"/>
      <c r="Z11" s="89">
        <v>18968126.739999998</v>
      </c>
      <c r="AA11" s="89">
        <v>2180628.549999997</v>
      </c>
      <c r="AB11" s="82">
        <f t="shared" si="0"/>
        <v>0.11496277834339255</v>
      </c>
      <c r="AC11" s="89">
        <v>412615.19999999966</v>
      </c>
      <c r="AD11" s="82">
        <f t="shared" si="1"/>
        <v>2.1753081137415455E-2</v>
      </c>
      <c r="AE11" s="155" t="str">
        <f t="shared" si="2"/>
        <v>OK</v>
      </c>
      <c r="AF11" s="284" t="s">
        <v>2</v>
      </c>
      <c r="AG11" s="283">
        <v>18968126.739999998</v>
      </c>
      <c r="AH11" s="283">
        <v>2180628.549999997</v>
      </c>
      <c r="AI11" s="217">
        <v>0.11496277834339255</v>
      </c>
      <c r="AJ11" s="283">
        <v>412615.19999999966</v>
      </c>
      <c r="AK11" s="217">
        <v>2.1753081137415455E-2</v>
      </c>
    </row>
    <row r="12" spans="1:37" x14ac:dyDescent="0.35">
      <c r="A12" s="16" t="s">
        <v>26</v>
      </c>
      <c r="B12" s="85">
        <v>21242056.77</v>
      </c>
      <c r="C12" s="85">
        <v>87179.709999999992</v>
      </c>
      <c r="D12" s="26">
        <v>4.1041087002047401E-3</v>
      </c>
      <c r="E12" s="85">
        <v>0</v>
      </c>
      <c r="F12" s="26">
        <v>0</v>
      </c>
      <c r="G12" s="26"/>
      <c r="H12" s="85">
        <v>21711226.879999999</v>
      </c>
      <c r="I12" s="85">
        <v>51456.1</v>
      </c>
      <c r="J12" s="26">
        <v>2.3700226746467493E-3</v>
      </c>
      <c r="K12" s="85">
        <v>450</v>
      </c>
      <c r="L12" s="26">
        <v>2.0726603912675802E-5</v>
      </c>
      <c r="M12" s="26"/>
      <c r="N12" s="85">
        <v>23600487.839999996</v>
      </c>
      <c r="O12" s="85"/>
      <c r="P12" s="26">
        <v>0</v>
      </c>
      <c r="Q12" s="85"/>
      <c r="R12" s="26">
        <v>0</v>
      </c>
      <c r="S12" s="26"/>
      <c r="T12" s="85">
        <v>24338992.120000001</v>
      </c>
      <c r="U12" s="85">
        <v>34566.340000000004</v>
      </c>
      <c r="V12" s="26">
        <v>1.4202042479645621E-3</v>
      </c>
      <c r="W12" s="85"/>
      <c r="X12" s="26">
        <v>0</v>
      </c>
      <c r="Y12" s="26"/>
      <c r="Z12" s="89">
        <v>23569742.729999997</v>
      </c>
      <c r="AA12" s="89">
        <v>15396256.089999968</v>
      </c>
      <c r="AB12" s="82">
        <f t="shared" si="0"/>
        <v>0.65322121952580048</v>
      </c>
      <c r="AC12" s="89">
        <v>11820446.259999987</v>
      </c>
      <c r="AD12" s="82">
        <f t="shared" si="1"/>
        <v>0.50150934591893992</v>
      </c>
      <c r="AE12" s="155" t="str">
        <f t="shared" si="2"/>
        <v>OK</v>
      </c>
      <c r="AF12" s="280" t="s">
        <v>26</v>
      </c>
      <c r="AG12" s="283">
        <v>23569742.729999997</v>
      </c>
      <c r="AH12" s="283">
        <v>15396256.089999968</v>
      </c>
      <c r="AI12" s="217">
        <v>0.65322121952580048</v>
      </c>
      <c r="AJ12" s="283">
        <v>11820446.259999987</v>
      </c>
      <c r="AK12" s="217">
        <v>0.50150934591893992</v>
      </c>
    </row>
    <row r="13" spans="1:37" x14ac:dyDescent="0.35">
      <c r="A13" s="16" t="s">
        <v>306</v>
      </c>
      <c r="B13" s="85">
        <v>73936116.529999986</v>
      </c>
      <c r="C13" s="85">
        <v>722030.58000000007</v>
      </c>
      <c r="D13" s="26">
        <v>9.7656005466155663E-3</v>
      </c>
      <c r="E13" s="85">
        <v>75399.97</v>
      </c>
      <c r="F13" s="26">
        <v>1.0440036411316861E-3</v>
      </c>
      <c r="G13" s="26"/>
      <c r="H13" s="85">
        <v>149054346.63</v>
      </c>
      <c r="I13" s="85">
        <v>1294688.8900000004</v>
      </c>
      <c r="J13" s="26">
        <v>8.6860190210610051E-3</v>
      </c>
      <c r="K13" s="85">
        <v>326302.28000000003</v>
      </c>
      <c r="L13" s="26">
        <v>2.1891497120173587E-3</v>
      </c>
      <c r="M13" s="26"/>
      <c r="N13" s="85">
        <v>165420646.14000008</v>
      </c>
      <c r="O13" s="85">
        <v>1318445.74</v>
      </c>
      <c r="P13" s="26">
        <v>7.9702610935527534E-3</v>
      </c>
      <c r="Q13" s="85">
        <v>391341.23999999993</v>
      </c>
      <c r="R13" s="26">
        <v>2.3657339584370685E-3</v>
      </c>
      <c r="S13" s="26"/>
      <c r="T13" s="85">
        <v>176683276.73999998</v>
      </c>
      <c r="U13" s="85">
        <v>1819790.709999999</v>
      </c>
      <c r="V13" s="26">
        <v>1.0299733758492208E-2</v>
      </c>
      <c r="W13" s="85">
        <v>535998.59000000008</v>
      </c>
      <c r="X13" s="26">
        <v>3.0336690596289659E-3</v>
      </c>
      <c r="Y13" s="26"/>
      <c r="Z13" s="89">
        <v>177265547.27999994</v>
      </c>
      <c r="AA13" s="89">
        <v>717020.78</v>
      </c>
      <c r="AB13" s="82">
        <f t="shared" si="0"/>
        <v>4.0448964336393537E-3</v>
      </c>
      <c r="AC13" s="89">
        <v>207899.19999999998</v>
      </c>
      <c r="AD13" s="82">
        <f t="shared" si="1"/>
        <v>1.1728122198027156E-3</v>
      </c>
      <c r="AE13" s="155" t="str">
        <f t="shared" si="2"/>
        <v>OK</v>
      </c>
      <c r="AF13" s="282" t="s">
        <v>306</v>
      </c>
      <c r="AG13" s="283">
        <v>177265547.27999994</v>
      </c>
      <c r="AH13" s="283">
        <v>717020.78</v>
      </c>
      <c r="AI13" s="217">
        <v>4.0448964336393537E-3</v>
      </c>
      <c r="AJ13" s="283">
        <v>207899.19999999998</v>
      </c>
      <c r="AK13" s="217">
        <v>1.1728122198027156E-3</v>
      </c>
    </row>
    <row r="14" spans="1:37" x14ac:dyDescent="0.35">
      <c r="A14" s="16" t="s">
        <v>3</v>
      </c>
      <c r="B14" s="85">
        <v>47273301.709999993</v>
      </c>
      <c r="C14" s="85">
        <v>1458583.32</v>
      </c>
      <c r="D14" s="26">
        <v>3.0854272226377148E-2</v>
      </c>
      <c r="E14" s="85">
        <v>154243.96</v>
      </c>
      <c r="F14" s="26">
        <v>3.6265759092446981E-3</v>
      </c>
      <c r="G14" s="26"/>
      <c r="H14" s="85">
        <v>50222916.100000009</v>
      </c>
      <c r="I14" s="85">
        <v>802844.45999999985</v>
      </c>
      <c r="J14" s="26">
        <v>1.5985620157966091E-2</v>
      </c>
      <c r="K14" s="85">
        <v>95101.640000000014</v>
      </c>
      <c r="L14" s="26">
        <v>1.8935905635316145E-3</v>
      </c>
      <c r="M14" s="26"/>
      <c r="N14" s="85">
        <v>54460374.409999996</v>
      </c>
      <c r="O14" s="85">
        <v>991236.73000000184</v>
      </c>
      <c r="P14" s="26">
        <v>1.8201063447297772E-2</v>
      </c>
      <c r="Q14" s="85">
        <v>138088.62</v>
      </c>
      <c r="R14" s="26">
        <v>2.5355797035182376E-3</v>
      </c>
      <c r="S14" s="26"/>
      <c r="T14" s="85">
        <v>60242660.319999993</v>
      </c>
      <c r="U14" s="85">
        <v>3401283.8300000019</v>
      </c>
      <c r="V14" s="26">
        <v>5.6459721598164682E-2</v>
      </c>
      <c r="W14" s="85">
        <v>563903.99000000011</v>
      </c>
      <c r="X14" s="26">
        <v>9.3605426288385432E-3</v>
      </c>
      <c r="Y14" s="26"/>
      <c r="Z14" s="89">
        <v>60480754.730000027</v>
      </c>
      <c r="AA14" s="89">
        <v>3668623.8100000005</v>
      </c>
      <c r="AB14" s="82">
        <f t="shared" si="0"/>
        <v>6.0657705519343789E-2</v>
      </c>
      <c r="AC14" s="89">
        <v>2190050.1500000004</v>
      </c>
      <c r="AD14" s="82">
        <f t="shared" si="1"/>
        <v>3.6210694786744761E-2</v>
      </c>
      <c r="AE14" s="155" t="str">
        <f t="shared" si="2"/>
        <v>OK</v>
      </c>
      <c r="AF14" s="284" t="s">
        <v>3</v>
      </c>
      <c r="AG14" s="283">
        <v>60480754.730000027</v>
      </c>
      <c r="AH14" s="283">
        <v>3668623.8100000005</v>
      </c>
      <c r="AI14" s="217">
        <v>6.0657705519343789E-2</v>
      </c>
      <c r="AJ14" s="283">
        <v>2190050.1500000004</v>
      </c>
      <c r="AK14" s="217">
        <v>3.6210694786744761E-2</v>
      </c>
    </row>
    <row r="15" spans="1:37" x14ac:dyDescent="0.35">
      <c r="A15" s="16" t="s">
        <v>22</v>
      </c>
      <c r="B15" s="85">
        <v>114691866.56999999</v>
      </c>
      <c r="C15" s="85">
        <v>130226.99</v>
      </c>
      <c r="D15" s="26">
        <v>1.1354509599904232E-3</v>
      </c>
      <c r="E15" s="85">
        <v>40349.089999999997</v>
      </c>
      <c r="F15" s="26">
        <v>3.6717674666640051E-4</v>
      </c>
      <c r="G15" s="26"/>
      <c r="H15" s="85">
        <v>118899107.73999998</v>
      </c>
      <c r="I15" s="85">
        <v>524275.14999999997</v>
      </c>
      <c r="J15" s="26">
        <v>4.4094119793266001E-3</v>
      </c>
      <c r="K15" s="85">
        <v>164854</v>
      </c>
      <c r="L15" s="26">
        <v>1.3865032558569815E-3</v>
      </c>
      <c r="M15" s="26"/>
      <c r="N15" s="85">
        <v>122507200.63000001</v>
      </c>
      <c r="O15" s="85">
        <v>60823.760000000009</v>
      </c>
      <c r="P15" s="26">
        <v>4.9649130571272938E-4</v>
      </c>
      <c r="Q15" s="85">
        <v>10739.130000000001</v>
      </c>
      <c r="R15" s="26">
        <v>8.7661214563498601E-5</v>
      </c>
      <c r="S15" s="26"/>
      <c r="T15" s="85">
        <v>124524137.10999997</v>
      </c>
      <c r="U15" s="85">
        <v>111959.09000000001</v>
      </c>
      <c r="V15" s="26">
        <v>8.9909548942386595E-4</v>
      </c>
      <c r="W15" s="85">
        <v>12500</v>
      </c>
      <c r="X15" s="26">
        <v>1.0038214510137875E-4</v>
      </c>
      <c r="Y15" s="26"/>
      <c r="Z15" s="89">
        <v>121356554.59999998</v>
      </c>
      <c r="AA15" s="89">
        <v>349857.51</v>
      </c>
      <c r="AB15" s="82">
        <f t="shared" si="0"/>
        <v>2.8828892774119684E-3</v>
      </c>
      <c r="AC15" s="89">
        <v>165199.63</v>
      </c>
      <c r="AD15" s="82">
        <f t="shared" si="1"/>
        <v>1.3612748857654206E-3</v>
      </c>
      <c r="AE15" s="155" t="str">
        <f t="shared" si="2"/>
        <v>OK</v>
      </c>
      <c r="AF15" s="284" t="s">
        <v>22</v>
      </c>
      <c r="AG15" s="285">
        <v>121356554.59999998</v>
      </c>
      <c r="AH15" s="285">
        <v>349857.51</v>
      </c>
      <c r="AI15" s="217">
        <v>2.8828892774119684E-3</v>
      </c>
      <c r="AJ15" s="285">
        <v>165199.63</v>
      </c>
      <c r="AK15" s="217">
        <v>1.3612748857654206E-3</v>
      </c>
    </row>
    <row r="16" spans="1:37" x14ac:dyDescent="0.35">
      <c r="A16" s="16" t="s">
        <v>23</v>
      </c>
      <c r="B16" s="85">
        <v>23570841.099999998</v>
      </c>
      <c r="C16" s="85">
        <v>257545.45</v>
      </c>
      <c r="D16" s="26">
        <v>1.092644292612876E-2</v>
      </c>
      <c r="E16" s="85">
        <v>4044.82</v>
      </c>
      <c r="F16" s="26">
        <v>1.6084576106877599E-4</v>
      </c>
      <c r="G16" s="26"/>
      <c r="H16" s="85">
        <v>25574825.060000002</v>
      </c>
      <c r="I16" s="85">
        <v>270421.46999999997</v>
      </c>
      <c r="J16" s="26">
        <v>1.0573736843383121E-2</v>
      </c>
      <c r="K16" s="85">
        <v>89670.47</v>
      </c>
      <c r="L16" s="26">
        <v>3.5062007184654422E-3</v>
      </c>
      <c r="M16" s="26"/>
      <c r="N16" s="85">
        <v>26491684.270000003</v>
      </c>
      <c r="O16" s="85">
        <v>194605.10999999996</v>
      </c>
      <c r="P16" s="26">
        <v>7.3458942065218842E-3</v>
      </c>
      <c r="Q16" s="85">
        <v>1961.54</v>
      </c>
      <c r="R16" s="26">
        <v>7.4043612327861995E-5</v>
      </c>
      <c r="S16" s="26"/>
      <c r="T16" s="85">
        <v>28068239.200000007</v>
      </c>
      <c r="U16" s="85">
        <v>160130.60999999999</v>
      </c>
      <c r="V16" s="26">
        <v>5.7050465068004671E-3</v>
      </c>
      <c r="W16" s="85">
        <v>50074.54</v>
      </c>
      <c r="X16" s="26">
        <v>1.7840285471131367E-3</v>
      </c>
      <c r="Y16" s="26"/>
      <c r="Z16" s="89">
        <v>27279771.41</v>
      </c>
      <c r="AA16" s="89">
        <v>65737.88</v>
      </c>
      <c r="AB16" s="82">
        <f t="shared" si="0"/>
        <v>2.4097665267056576E-3</v>
      </c>
      <c r="AC16" s="89">
        <v>31500</v>
      </c>
      <c r="AD16" s="82">
        <f t="shared" si="1"/>
        <v>1.1547017578179919E-3</v>
      </c>
      <c r="AE16" s="155" t="str">
        <f t="shared" si="2"/>
        <v>OK</v>
      </c>
      <c r="AF16" s="284" t="s">
        <v>23</v>
      </c>
      <c r="AG16" s="285">
        <v>27279771.41</v>
      </c>
      <c r="AH16" s="285">
        <v>65737.88</v>
      </c>
      <c r="AI16" s="217">
        <v>2.4097665267056576E-3</v>
      </c>
      <c r="AJ16" s="285">
        <v>31500</v>
      </c>
      <c r="AK16" s="217">
        <v>1.1547017578179919E-3</v>
      </c>
    </row>
    <row r="17" spans="1:37" x14ac:dyDescent="0.35">
      <c r="A17" s="16" t="s">
        <v>4</v>
      </c>
      <c r="B17" s="85">
        <v>9417455.3699999992</v>
      </c>
      <c r="C17" s="85">
        <v>762496.5</v>
      </c>
      <c r="D17" s="26">
        <v>8.0966298224145458E-2</v>
      </c>
      <c r="E17" s="85">
        <v>226506.08000000002</v>
      </c>
      <c r="F17" s="26">
        <v>2.6904829250156595E-2</v>
      </c>
      <c r="G17" s="26"/>
      <c r="H17" s="85">
        <v>10825163.309999999</v>
      </c>
      <c r="I17" s="85">
        <v>933484.6</v>
      </c>
      <c r="J17" s="26">
        <v>8.6232842246146219E-2</v>
      </c>
      <c r="K17" s="85">
        <v>328916.32</v>
      </c>
      <c r="L17" s="26">
        <v>3.038442105498361E-2</v>
      </c>
      <c r="M17" s="26"/>
      <c r="N17" s="85">
        <v>12864556.399999997</v>
      </c>
      <c r="O17" s="85">
        <v>1543881.4399999995</v>
      </c>
      <c r="P17" s="26">
        <v>0.12001046845268601</v>
      </c>
      <c r="Q17" s="85">
        <v>375578.49</v>
      </c>
      <c r="R17" s="26">
        <v>2.9194826336957882E-2</v>
      </c>
      <c r="S17" s="26"/>
      <c r="T17" s="85">
        <v>13899776.240000002</v>
      </c>
      <c r="U17" s="85">
        <v>1058452.6100000006</v>
      </c>
      <c r="V17" s="26">
        <v>7.6148895617041995E-2</v>
      </c>
      <c r="W17" s="85">
        <v>291706.2300000001</v>
      </c>
      <c r="X17" s="26">
        <v>2.098639754793636E-2</v>
      </c>
      <c r="Y17" s="26"/>
      <c r="Z17" s="89">
        <v>14132017.640000001</v>
      </c>
      <c r="AA17" s="89">
        <v>930645.39000000048</v>
      </c>
      <c r="AB17" s="82">
        <f t="shared" si="0"/>
        <v>6.5853681597867045E-2</v>
      </c>
      <c r="AC17" s="89">
        <v>186961.07000000007</v>
      </c>
      <c r="AD17" s="82">
        <f t="shared" si="1"/>
        <v>1.3229609158625425E-2</v>
      </c>
      <c r="AE17" s="155" t="str">
        <f t="shared" si="2"/>
        <v>OK</v>
      </c>
      <c r="AF17" s="284" t="s">
        <v>4</v>
      </c>
      <c r="AG17" s="283">
        <v>14132017.640000001</v>
      </c>
      <c r="AH17" s="283">
        <v>930645.39000000048</v>
      </c>
      <c r="AI17" s="217">
        <v>6.5853681597867045E-2</v>
      </c>
      <c r="AJ17" s="283">
        <v>186961.07000000007</v>
      </c>
      <c r="AK17" s="217">
        <v>1.3229609158625425E-2</v>
      </c>
    </row>
    <row r="18" spans="1:37" x14ac:dyDescent="0.35">
      <c r="A18" s="16" t="s">
        <v>6</v>
      </c>
      <c r="B18" s="85">
        <v>65173905.409999996</v>
      </c>
      <c r="C18" s="85">
        <v>5107092.92</v>
      </c>
      <c r="D18" s="26">
        <v>7.8361007950528472E-2</v>
      </c>
      <c r="E18" s="85">
        <v>300133.38</v>
      </c>
      <c r="F18" s="26">
        <v>5.0618184468733621E-3</v>
      </c>
      <c r="G18" s="26"/>
      <c r="H18" s="85">
        <v>66591627.350000001</v>
      </c>
      <c r="I18" s="85">
        <v>5473898.6599999992</v>
      </c>
      <c r="J18" s="26">
        <v>8.2201004508114017E-2</v>
      </c>
      <c r="K18" s="85">
        <v>140232.21</v>
      </c>
      <c r="L18" s="26">
        <v>2.1058534770888129E-3</v>
      </c>
      <c r="M18" s="26"/>
      <c r="N18" s="85">
        <v>66000395.159999996</v>
      </c>
      <c r="O18" s="85">
        <v>6686201.980000006</v>
      </c>
      <c r="P18" s="26">
        <v>0.10130548406249885</v>
      </c>
      <c r="Q18" s="85">
        <v>140007.91999999995</v>
      </c>
      <c r="R18" s="26">
        <v>2.1213194202942096E-3</v>
      </c>
      <c r="S18" s="26"/>
      <c r="T18" s="85">
        <v>65678538.950000025</v>
      </c>
      <c r="U18" s="85">
        <v>6395936.8599999901</v>
      </c>
      <c r="V18" s="26">
        <v>9.7382447329851685E-2</v>
      </c>
      <c r="W18" s="85">
        <v>237775.93999999997</v>
      </c>
      <c r="X18" s="26">
        <v>3.6202988647633413E-3</v>
      </c>
      <c r="Y18" s="26"/>
      <c r="Z18" s="89">
        <v>65558945.329999998</v>
      </c>
      <c r="AA18" s="89">
        <v>5484310.2100000056</v>
      </c>
      <c r="AB18" s="82">
        <f t="shared" si="0"/>
        <v>8.3654643655323824E-2</v>
      </c>
      <c r="AC18" s="89">
        <v>370409.99000000005</v>
      </c>
      <c r="AD18" s="82">
        <f t="shared" si="1"/>
        <v>5.6500297272247171E-3</v>
      </c>
      <c r="AE18" s="155" t="str">
        <f t="shared" si="2"/>
        <v>OK</v>
      </c>
      <c r="AF18" s="284" t="s">
        <v>6</v>
      </c>
      <c r="AG18" s="283">
        <v>65558945.329999998</v>
      </c>
      <c r="AH18" s="283">
        <v>5484310.2100000056</v>
      </c>
      <c r="AI18" s="217">
        <v>8.3654643655323824E-2</v>
      </c>
      <c r="AJ18" s="283">
        <v>370409.99000000005</v>
      </c>
      <c r="AK18" s="217">
        <v>5.6500297272247171E-3</v>
      </c>
    </row>
    <row r="19" spans="1:37" x14ac:dyDescent="0.35">
      <c r="A19" s="16" t="s">
        <v>5</v>
      </c>
      <c r="B19" s="85">
        <v>3323099.85</v>
      </c>
      <c r="C19" s="85">
        <v>0</v>
      </c>
      <c r="D19" s="26">
        <v>0</v>
      </c>
      <c r="E19" s="85">
        <v>0</v>
      </c>
      <c r="F19" s="26">
        <v>0</v>
      </c>
      <c r="G19" s="26"/>
      <c r="H19" s="85">
        <v>3413273.58</v>
      </c>
      <c r="I19" s="85">
        <v>2307.69</v>
      </c>
      <c r="J19" s="26">
        <v>6.7609289027456164E-4</v>
      </c>
      <c r="K19" s="85">
        <v>0</v>
      </c>
      <c r="L19" s="26">
        <v>0</v>
      </c>
      <c r="M19" s="26"/>
      <c r="N19" s="85">
        <v>3482017.8</v>
      </c>
      <c r="O19" s="85"/>
      <c r="P19" s="26">
        <v>0</v>
      </c>
      <c r="Q19" s="85"/>
      <c r="R19" s="26">
        <v>0</v>
      </c>
      <c r="S19" s="26"/>
      <c r="T19" s="85">
        <v>3519519.91</v>
      </c>
      <c r="U19" s="85"/>
      <c r="V19" s="26">
        <v>0</v>
      </c>
      <c r="W19" s="85"/>
      <c r="X19" s="26">
        <v>0</v>
      </c>
      <c r="Y19" s="26"/>
      <c r="Z19" s="89">
        <v>3355474.73</v>
      </c>
      <c r="AA19" s="89"/>
      <c r="AB19" s="82">
        <f t="shared" si="0"/>
        <v>0</v>
      </c>
      <c r="AC19" s="89"/>
      <c r="AD19" s="82">
        <f t="shared" si="1"/>
        <v>0</v>
      </c>
      <c r="AE19" s="155" t="str">
        <f t="shared" si="2"/>
        <v>OK</v>
      </c>
      <c r="AF19" s="284" t="s">
        <v>5</v>
      </c>
      <c r="AG19" s="283">
        <v>3355474.73</v>
      </c>
      <c r="AH19" s="283"/>
      <c r="AI19" s="217">
        <v>0</v>
      </c>
      <c r="AJ19" s="283"/>
      <c r="AK19" s="217">
        <v>0</v>
      </c>
    </row>
    <row r="20" spans="1:37" x14ac:dyDescent="0.35">
      <c r="A20" s="16" t="s">
        <v>24</v>
      </c>
      <c r="B20" s="85">
        <v>6295341.6500000004</v>
      </c>
      <c r="C20" s="85">
        <v>0</v>
      </c>
      <c r="D20" s="26">
        <v>0</v>
      </c>
      <c r="E20" s="85">
        <v>0</v>
      </c>
      <c r="F20" s="26">
        <v>0</v>
      </c>
      <c r="G20" s="26"/>
      <c r="H20" s="85">
        <v>8689121.5999999996</v>
      </c>
      <c r="I20" s="85">
        <v>0</v>
      </c>
      <c r="J20" s="26">
        <v>0</v>
      </c>
      <c r="K20" s="85">
        <v>0</v>
      </c>
      <c r="L20" s="26">
        <v>0</v>
      </c>
      <c r="M20" s="26"/>
      <c r="N20" s="85">
        <v>9099382.5500000007</v>
      </c>
      <c r="O20" s="85"/>
      <c r="P20" s="26">
        <v>0</v>
      </c>
      <c r="Q20" s="85"/>
      <c r="R20" s="26">
        <v>0</v>
      </c>
      <c r="S20" s="26"/>
      <c r="T20" s="85">
        <v>9010995.2400000002</v>
      </c>
      <c r="U20" s="85">
        <v>2624464.7799999998</v>
      </c>
      <c r="V20" s="26">
        <v>0.29125137791105965</v>
      </c>
      <c r="W20" s="85"/>
      <c r="X20" s="26">
        <v>0</v>
      </c>
      <c r="Y20" s="26"/>
      <c r="Z20" s="89">
        <v>10456419.99</v>
      </c>
      <c r="AA20" s="89"/>
      <c r="AB20" s="82">
        <f t="shared" si="0"/>
        <v>0</v>
      </c>
      <c r="AC20" s="89"/>
      <c r="AD20" s="82">
        <f t="shared" si="1"/>
        <v>0</v>
      </c>
      <c r="AE20" s="155" t="str">
        <f t="shared" si="2"/>
        <v>OK</v>
      </c>
      <c r="AF20" s="282" t="s">
        <v>24</v>
      </c>
      <c r="AG20" s="283">
        <v>10456419.99</v>
      </c>
      <c r="AH20" s="283"/>
      <c r="AI20" s="217">
        <v>0</v>
      </c>
      <c r="AJ20" s="283"/>
      <c r="AK20" s="217">
        <v>0</v>
      </c>
    </row>
    <row r="21" spans="1:37" x14ac:dyDescent="0.35">
      <c r="A21" s="16" t="s">
        <v>7</v>
      </c>
      <c r="B21" s="85">
        <v>34109595.18</v>
      </c>
      <c r="C21" s="85">
        <v>1630692.81</v>
      </c>
      <c r="D21" s="26">
        <v>4.7807451287377019E-2</v>
      </c>
      <c r="E21" s="85">
        <v>526001.48</v>
      </c>
      <c r="F21" s="26">
        <v>1.549262476218251E-2</v>
      </c>
      <c r="G21" s="26"/>
      <c r="H21" s="85">
        <v>34062344.600000001</v>
      </c>
      <c r="I21" s="85">
        <v>1939676.54</v>
      </c>
      <c r="J21" s="26">
        <v>5.6944892161063979E-2</v>
      </c>
      <c r="K21" s="85">
        <v>280512.86</v>
      </c>
      <c r="L21" s="26">
        <v>8.2352774976036137E-3</v>
      </c>
      <c r="M21" s="26"/>
      <c r="N21" s="85">
        <v>34471149.43</v>
      </c>
      <c r="O21" s="85">
        <v>282762.59000000003</v>
      </c>
      <c r="P21" s="26">
        <v>8.202876744049438E-3</v>
      </c>
      <c r="Q21" s="85">
        <v>22628.78</v>
      </c>
      <c r="R21" s="26">
        <v>6.5645562663791909E-4</v>
      </c>
      <c r="S21" s="26"/>
      <c r="T21" s="85">
        <v>35343121.579999998</v>
      </c>
      <c r="U21" s="85">
        <v>1645757.1599999995</v>
      </c>
      <c r="V21" s="26">
        <v>4.6565133084659455E-2</v>
      </c>
      <c r="W21" s="85">
        <v>322587.24999999994</v>
      </c>
      <c r="X21" s="26">
        <v>9.1272993323415416E-3</v>
      </c>
      <c r="Y21" s="26"/>
      <c r="Z21" s="89">
        <v>34659169.140000001</v>
      </c>
      <c r="AA21" s="89">
        <v>617264.04</v>
      </c>
      <c r="AB21" s="82">
        <f t="shared" si="0"/>
        <v>1.7809545217505465E-2</v>
      </c>
      <c r="AC21" s="89"/>
      <c r="AD21" s="82">
        <f t="shared" si="1"/>
        <v>0</v>
      </c>
      <c r="AE21" s="155" t="str">
        <f t="shared" si="2"/>
        <v>OK</v>
      </c>
      <c r="AF21" s="284" t="s">
        <v>7</v>
      </c>
      <c r="AG21" s="285">
        <v>34659169.140000001</v>
      </c>
      <c r="AH21" s="285">
        <v>617264.04</v>
      </c>
      <c r="AI21" s="217">
        <v>1.7809545217505465E-2</v>
      </c>
      <c r="AJ21" s="285"/>
      <c r="AK21" s="217">
        <v>0</v>
      </c>
    </row>
    <row r="22" spans="1:37" x14ac:dyDescent="0.35">
      <c r="A22" s="16" t="s">
        <v>8</v>
      </c>
      <c r="B22" s="85">
        <v>13161719.43</v>
      </c>
      <c r="C22" s="85">
        <v>1588520.07</v>
      </c>
      <c r="D22" s="26">
        <v>0.12069244284141377</v>
      </c>
      <c r="E22" s="85">
        <v>287059.18</v>
      </c>
      <c r="F22" s="26">
        <v>2.4331120821274657E-2</v>
      </c>
      <c r="G22" s="26"/>
      <c r="H22" s="85">
        <v>13046208.74</v>
      </c>
      <c r="I22" s="85">
        <v>1980367.26</v>
      </c>
      <c r="J22" s="26">
        <v>0.15179638004167026</v>
      </c>
      <c r="K22" s="85">
        <v>450142.3</v>
      </c>
      <c r="L22" s="26">
        <v>3.4503686777588687E-2</v>
      </c>
      <c r="M22" s="26"/>
      <c r="N22" s="85">
        <v>13352266.07</v>
      </c>
      <c r="O22" s="85">
        <v>1587900.8400000015</v>
      </c>
      <c r="P22" s="26">
        <v>0.1189236966725605</v>
      </c>
      <c r="Q22" s="85">
        <v>363778.17000000004</v>
      </c>
      <c r="R22" s="26">
        <v>2.7244676528528765E-2</v>
      </c>
      <c r="S22" s="26"/>
      <c r="T22" s="85">
        <v>14391224.48</v>
      </c>
      <c r="U22" s="85">
        <v>1710453.5900000017</v>
      </c>
      <c r="V22" s="26">
        <v>0.11885393021122562</v>
      </c>
      <c r="W22" s="85">
        <v>260314.0800000001</v>
      </c>
      <c r="X22" s="26">
        <v>1.8088389932473633E-2</v>
      </c>
      <c r="Y22" s="26"/>
      <c r="Z22" s="89">
        <v>14479041.350000001</v>
      </c>
      <c r="AA22" s="89">
        <v>1439435.4800000007</v>
      </c>
      <c r="AB22" s="82">
        <f t="shared" si="0"/>
        <v>9.9415109412613181E-2</v>
      </c>
      <c r="AC22" s="89">
        <v>384176.67</v>
      </c>
      <c r="AD22" s="82">
        <f t="shared" si="1"/>
        <v>2.6533294623127791E-2</v>
      </c>
      <c r="AE22" s="155" t="str">
        <f t="shared" si="2"/>
        <v>OK</v>
      </c>
      <c r="AF22" s="284" t="s">
        <v>8</v>
      </c>
      <c r="AG22" s="283">
        <v>14479041.350000001</v>
      </c>
      <c r="AH22" s="283">
        <v>1439435.4800000007</v>
      </c>
      <c r="AI22" s="217">
        <v>9.9415109412613181E-2</v>
      </c>
      <c r="AJ22" s="283">
        <v>384176.67</v>
      </c>
      <c r="AK22" s="217">
        <v>2.6533294623127791E-2</v>
      </c>
    </row>
    <row r="23" spans="1:37" x14ac:dyDescent="0.35">
      <c r="A23" s="16" t="s">
        <v>19</v>
      </c>
      <c r="B23" s="85">
        <v>862129694.7700001</v>
      </c>
      <c r="C23" s="85">
        <v>69039048.730000019</v>
      </c>
      <c r="D23" s="26">
        <v>8.0079655240756248E-2</v>
      </c>
      <c r="E23" s="85">
        <v>19329599.690000009</v>
      </c>
      <c r="F23" s="26">
        <v>2.5192502816385739E-2</v>
      </c>
      <c r="G23" s="26"/>
      <c r="H23" s="85">
        <v>911722635.55999982</v>
      </c>
      <c r="I23" s="85">
        <v>79830997.569999963</v>
      </c>
      <c r="J23" s="26">
        <v>8.7560618170860735E-2</v>
      </c>
      <c r="K23" s="85">
        <v>18784264.650000002</v>
      </c>
      <c r="L23" s="26">
        <v>2.0603047371377699E-2</v>
      </c>
      <c r="M23" s="26"/>
      <c r="N23" s="85">
        <v>970407901.14000058</v>
      </c>
      <c r="O23" s="85">
        <v>89886437.649999723</v>
      </c>
      <c r="P23" s="26">
        <v>9.2627479170773797E-2</v>
      </c>
      <c r="Q23" s="85">
        <v>28165710.830000028</v>
      </c>
      <c r="R23" s="26">
        <v>2.9024609957227221E-2</v>
      </c>
      <c r="S23" s="26"/>
      <c r="T23" s="85">
        <v>1008139168.4600003</v>
      </c>
      <c r="U23" s="85">
        <v>85943313.470001534</v>
      </c>
      <c r="V23" s="26">
        <v>8.52494538043648E-2</v>
      </c>
      <c r="W23" s="85">
        <v>22711785.180000063</v>
      </c>
      <c r="X23" s="26">
        <v>2.2528422553697448E-2</v>
      </c>
      <c r="Y23" s="26"/>
      <c r="Z23" s="89">
        <v>1017454903.2300004</v>
      </c>
      <c r="AA23" s="89">
        <v>91788880.769999325</v>
      </c>
      <c r="AB23" s="82">
        <f t="shared" si="0"/>
        <v>9.0214200628064622E-2</v>
      </c>
      <c r="AC23" s="89">
        <v>33715349.910000093</v>
      </c>
      <c r="AD23" s="82">
        <f t="shared" si="1"/>
        <v>3.3136947694652349E-2</v>
      </c>
      <c r="AE23" s="155" t="str">
        <f t="shared" si="2"/>
        <v>OK</v>
      </c>
      <c r="AF23" s="284" t="s">
        <v>19</v>
      </c>
      <c r="AG23" s="283">
        <v>1017454903.2300004</v>
      </c>
      <c r="AH23" s="283">
        <v>91788880.769999325</v>
      </c>
      <c r="AI23" s="217">
        <v>9.0214200628064622E-2</v>
      </c>
      <c r="AJ23" s="283">
        <v>33715349.910000093</v>
      </c>
      <c r="AK23" s="217">
        <v>3.3136947694652349E-2</v>
      </c>
    </row>
    <row r="24" spans="1:37" x14ac:dyDescent="0.35">
      <c r="A24" s="16" t="s">
        <v>20</v>
      </c>
      <c r="B24" s="85">
        <v>414444.53</v>
      </c>
      <c r="C24" s="85">
        <v>0</v>
      </c>
      <c r="D24" s="26">
        <v>0</v>
      </c>
      <c r="E24" s="85">
        <v>0</v>
      </c>
      <c r="F24" s="26">
        <v>0</v>
      </c>
      <c r="G24" s="26"/>
      <c r="H24" s="85">
        <v>405729.26</v>
      </c>
      <c r="I24" s="85">
        <v>9698.42</v>
      </c>
      <c r="J24" s="26">
        <v>2.3903674090451351E-2</v>
      </c>
      <c r="K24" s="85">
        <v>0</v>
      </c>
      <c r="L24" s="26">
        <v>0</v>
      </c>
      <c r="M24" s="26"/>
      <c r="N24" s="85">
        <v>389754.14</v>
      </c>
      <c r="O24" s="85">
        <v>3313.64</v>
      </c>
      <c r="P24" s="26">
        <v>8.5018724881280282E-3</v>
      </c>
      <c r="Q24" s="85"/>
      <c r="R24" s="26">
        <v>0</v>
      </c>
      <c r="S24" s="26"/>
      <c r="T24" s="85">
        <v>404877.53</v>
      </c>
      <c r="U24" s="85"/>
      <c r="V24" s="26">
        <v>0</v>
      </c>
      <c r="W24" s="85"/>
      <c r="X24" s="26">
        <v>0</v>
      </c>
      <c r="Y24" s="26"/>
      <c r="Z24" s="89">
        <v>385914.91</v>
      </c>
      <c r="AA24" s="89"/>
      <c r="AB24" s="82">
        <f t="shared" si="0"/>
        <v>0</v>
      </c>
      <c r="AC24" s="89"/>
      <c r="AD24" s="82">
        <f t="shared" si="1"/>
        <v>0</v>
      </c>
      <c r="AE24" s="155" t="str">
        <f t="shared" si="2"/>
        <v>OK</v>
      </c>
      <c r="AF24" s="282" t="s">
        <v>20</v>
      </c>
      <c r="AG24" s="283">
        <v>385914.91</v>
      </c>
      <c r="AH24" s="283"/>
      <c r="AI24" s="217">
        <v>0</v>
      </c>
      <c r="AJ24" s="283"/>
      <c r="AK24" s="217">
        <v>0</v>
      </c>
    </row>
    <row r="25" spans="1:37" x14ac:dyDescent="0.35">
      <c r="A25" s="16" t="s">
        <v>27</v>
      </c>
      <c r="B25" s="85">
        <v>363889.82</v>
      </c>
      <c r="C25" s="85">
        <v>390.1</v>
      </c>
      <c r="D25" s="26">
        <v>1.0720277912693464E-3</v>
      </c>
      <c r="E25" s="85">
        <v>0</v>
      </c>
      <c r="F25" s="26">
        <v>0</v>
      </c>
      <c r="G25" s="26"/>
      <c r="H25" s="85">
        <v>353228.08</v>
      </c>
      <c r="I25" s="85">
        <v>311</v>
      </c>
      <c r="J25" s="26">
        <v>8.804509539558689E-4</v>
      </c>
      <c r="K25" s="85">
        <v>0</v>
      </c>
      <c r="L25" s="26">
        <v>0</v>
      </c>
      <c r="M25" s="26"/>
      <c r="N25" s="85">
        <v>380547.83999999997</v>
      </c>
      <c r="O25" s="85">
        <v>237</v>
      </c>
      <c r="P25" s="26">
        <v>6.2278634928002749E-4</v>
      </c>
      <c r="Q25" s="85">
        <v>37</v>
      </c>
      <c r="R25" s="26">
        <v>9.7228248621776444E-5</v>
      </c>
      <c r="S25" s="26"/>
      <c r="T25" s="85">
        <v>360331.02</v>
      </c>
      <c r="U25" s="85">
        <v>25</v>
      </c>
      <c r="V25" s="26">
        <v>6.938064893774618E-5</v>
      </c>
      <c r="W25" s="85"/>
      <c r="X25" s="26">
        <v>0</v>
      </c>
      <c r="Y25" s="26"/>
      <c r="Z25" s="89">
        <v>351402.56</v>
      </c>
      <c r="AA25" s="89">
        <v>142</v>
      </c>
      <c r="AB25" s="82">
        <f t="shared" si="0"/>
        <v>4.0409495024737441E-4</v>
      </c>
      <c r="AC25" s="89"/>
      <c r="AD25" s="82">
        <f t="shared" si="1"/>
        <v>0</v>
      </c>
      <c r="AE25" s="155" t="str">
        <f t="shared" si="2"/>
        <v>OK</v>
      </c>
      <c r="AF25" s="284" t="s">
        <v>27</v>
      </c>
      <c r="AG25" s="283">
        <v>351402.56</v>
      </c>
      <c r="AH25" s="283">
        <v>142</v>
      </c>
      <c r="AI25" s="217">
        <v>4.0409495024737441E-4</v>
      </c>
      <c r="AJ25" s="283"/>
      <c r="AK25" s="217">
        <v>0</v>
      </c>
    </row>
    <row r="26" spans="1:37" x14ac:dyDescent="0.35">
      <c r="A26" s="16" t="s">
        <v>9</v>
      </c>
      <c r="B26" s="85">
        <v>9623825.7899999991</v>
      </c>
      <c r="C26" s="85">
        <v>1966383.3400000003</v>
      </c>
      <c r="D26" s="26">
        <v>0.20432449453139992</v>
      </c>
      <c r="E26" s="85">
        <v>1110502.28</v>
      </c>
      <c r="F26" s="26">
        <v>0.11841418547035999</v>
      </c>
      <c r="G26" s="26"/>
      <c r="H26" s="85">
        <v>10200661.359999999</v>
      </c>
      <c r="I26" s="85">
        <v>275416.03000000003</v>
      </c>
      <c r="J26" s="26">
        <v>2.699982092141524E-2</v>
      </c>
      <c r="K26" s="85">
        <v>115435.86</v>
      </c>
      <c r="L26" s="26">
        <v>1.1316507423004973E-2</v>
      </c>
      <c r="M26" s="26"/>
      <c r="N26" s="85">
        <v>10499467.360000001</v>
      </c>
      <c r="O26" s="85">
        <v>412699.17999999993</v>
      </c>
      <c r="P26" s="26">
        <v>3.9306677743698407E-2</v>
      </c>
      <c r="Q26" s="85">
        <v>80743.03</v>
      </c>
      <c r="R26" s="26">
        <v>7.6902024866145197E-3</v>
      </c>
      <c r="S26" s="26"/>
      <c r="T26" s="85">
        <v>11145657.469999999</v>
      </c>
      <c r="U26" s="85">
        <v>298019.54000000004</v>
      </c>
      <c r="V26" s="26">
        <v>2.6738623612125062E-2</v>
      </c>
      <c r="W26" s="85">
        <v>74675.640000000029</v>
      </c>
      <c r="X26" s="26">
        <v>6.6999762195275895E-3</v>
      </c>
      <c r="Y26" s="26"/>
      <c r="Z26" s="89">
        <v>10770217.359999998</v>
      </c>
      <c r="AA26" s="89">
        <v>225686.87999999998</v>
      </c>
      <c r="AB26" s="82">
        <f t="shared" si="0"/>
        <v>2.0954719153411776E-2</v>
      </c>
      <c r="AC26" s="89">
        <v>8692.09</v>
      </c>
      <c r="AD26" s="82">
        <f t="shared" si="1"/>
        <v>8.0704870751095053E-4</v>
      </c>
      <c r="AE26" s="155" t="str">
        <f t="shared" si="2"/>
        <v>OK</v>
      </c>
      <c r="AF26" s="280" t="s">
        <v>9</v>
      </c>
      <c r="AG26" s="285">
        <v>10770217.359999998</v>
      </c>
      <c r="AH26" s="285">
        <v>225686.87999999998</v>
      </c>
      <c r="AI26" s="217">
        <v>2.0954719153411776E-2</v>
      </c>
      <c r="AJ26" s="285">
        <v>8692.09</v>
      </c>
      <c r="AK26" s="217">
        <v>8.0704870751095053E-4</v>
      </c>
    </row>
    <row r="27" spans="1:37" x14ac:dyDescent="0.35">
      <c r="A27" s="16" t="s">
        <v>342</v>
      </c>
      <c r="B27" s="85">
        <v>80759807.800000012</v>
      </c>
      <c r="C27" s="85">
        <v>9242001.9299999997</v>
      </c>
      <c r="D27" s="26">
        <v>0.11443813676337153</v>
      </c>
      <c r="E27" s="85">
        <v>4259163.0799999991</v>
      </c>
      <c r="F27" s="26">
        <v>6.0127762834441677E-2</v>
      </c>
      <c r="G27" s="26"/>
      <c r="H27" s="85">
        <v>84158280.719999939</v>
      </c>
      <c r="I27" s="85">
        <v>5313623.919999999</v>
      </c>
      <c r="J27" s="26">
        <v>6.3138456186845951E-2</v>
      </c>
      <c r="K27" s="85">
        <v>2230361.52</v>
      </c>
      <c r="L27" s="26">
        <v>2.6501985317648746E-2</v>
      </c>
      <c r="M27" s="26"/>
      <c r="N27" s="85">
        <v>86852096.670000032</v>
      </c>
      <c r="O27" s="85">
        <v>4645503.4099999974</v>
      </c>
      <c r="P27" s="26">
        <v>5.3487521753802648E-2</v>
      </c>
      <c r="Q27" s="85">
        <v>1464977.4299999992</v>
      </c>
      <c r="R27" s="26">
        <v>1.6867496424021546E-2</v>
      </c>
      <c r="S27" s="26"/>
      <c r="T27" s="85">
        <v>87982956.209999979</v>
      </c>
      <c r="U27" s="85">
        <v>5416166.629999998</v>
      </c>
      <c r="V27" s="26">
        <v>6.1559270832779844E-2</v>
      </c>
      <c r="W27" s="85">
        <v>1521282.5199999998</v>
      </c>
      <c r="X27" s="26">
        <v>1.7290650206944213E-2</v>
      </c>
      <c r="Y27" s="26"/>
      <c r="Z27" s="89">
        <v>82773818.550000012</v>
      </c>
      <c r="AA27" s="89">
        <v>5961546.280000004</v>
      </c>
      <c r="AB27" s="82">
        <f t="shared" si="0"/>
        <v>7.2022124681838828E-2</v>
      </c>
      <c r="AC27" s="89">
        <v>1467133.2399999998</v>
      </c>
      <c r="AD27" s="82">
        <f t="shared" si="1"/>
        <v>1.7724605022465759E-2</v>
      </c>
      <c r="AE27" s="155" t="str">
        <f t="shared" si="2"/>
        <v>OK</v>
      </c>
      <c r="AF27" s="280" t="s">
        <v>342</v>
      </c>
      <c r="AG27" s="283">
        <v>82773818.550000012</v>
      </c>
      <c r="AH27" s="283">
        <v>5961546.280000004</v>
      </c>
      <c r="AI27" s="217">
        <v>7.2022124681838828E-2</v>
      </c>
      <c r="AJ27" s="283">
        <v>1467133.2399999998</v>
      </c>
      <c r="AK27" s="217">
        <v>1.7724605022465759E-2</v>
      </c>
    </row>
    <row r="28" spans="1:37" x14ac:dyDescent="0.35">
      <c r="A28" s="16" t="s">
        <v>178</v>
      </c>
      <c r="B28" s="85">
        <v>14324833.080000002</v>
      </c>
      <c r="C28" s="85">
        <v>433898.05999999994</v>
      </c>
      <c r="D28" s="26">
        <v>3.0289920837248588E-2</v>
      </c>
      <c r="E28" s="85">
        <v>63925.15</v>
      </c>
      <c r="F28" s="26">
        <v>4.6820641902470253E-3</v>
      </c>
      <c r="G28" s="26"/>
      <c r="H28" s="85">
        <v>15667740.899999999</v>
      </c>
      <c r="I28" s="85">
        <v>704637.9</v>
      </c>
      <c r="J28" s="26">
        <v>4.4973803466458913E-2</v>
      </c>
      <c r="K28" s="85">
        <v>75873.280000000013</v>
      </c>
      <c r="L28" s="26">
        <v>4.8426432683731716E-3</v>
      </c>
      <c r="M28" s="26"/>
      <c r="N28" s="85">
        <v>18000225.170000002</v>
      </c>
      <c r="O28" s="85">
        <v>742558.04000000027</v>
      </c>
      <c r="P28" s="26">
        <v>4.1252708395980595E-2</v>
      </c>
      <c r="Q28" s="85">
        <v>94961.809999999983</v>
      </c>
      <c r="R28" s="26">
        <v>5.2755901164096364E-3</v>
      </c>
      <c r="S28" s="26"/>
      <c r="T28" s="85">
        <v>20129185.640000001</v>
      </c>
      <c r="U28" s="85">
        <v>995361.10000000102</v>
      </c>
      <c r="V28" s="26">
        <v>4.9448652210850243E-2</v>
      </c>
      <c r="W28" s="85">
        <v>154897.27000000002</v>
      </c>
      <c r="X28" s="26">
        <v>7.6951583024895791E-3</v>
      </c>
      <c r="Y28" s="26"/>
      <c r="Z28" s="89">
        <v>20255839.830000002</v>
      </c>
      <c r="AA28" s="89">
        <v>2595365.7300000009</v>
      </c>
      <c r="AB28" s="82">
        <f t="shared" si="0"/>
        <v>0.12812925811923745</v>
      </c>
      <c r="AC28" s="89">
        <v>867755.25999999989</v>
      </c>
      <c r="AD28" s="82">
        <f t="shared" si="1"/>
        <v>4.2839757190161379E-2</v>
      </c>
      <c r="AE28" s="155" t="str">
        <f t="shared" si="2"/>
        <v>OK</v>
      </c>
      <c r="AF28" s="280" t="s">
        <v>178</v>
      </c>
      <c r="AG28" s="283">
        <v>20255839.830000002</v>
      </c>
      <c r="AH28" s="283">
        <v>2595365.7300000009</v>
      </c>
      <c r="AI28" s="217">
        <v>0.12812925811923745</v>
      </c>
      <c r="AJ28" s="283">
        <v>867755.25999999989</v>
      </c>
      <c r="AK28" s="217">
        <v>4.2839757190161379E-2</v>
      </c>
    </row>
    <row r="29" spans="1:37" x14ac:dyDescent="0.35">
      <c r="A29" s="16" t="s">
        <v>10</v>
      </c>
      <c r="B29" s="85">
        <v>39016243.710000016</v>
      </c>
      <c r="C29" s="85">
        <v>1743472.7899999998</v>
      </c>
      <c r="D29" s="26">
        <v>4.4685818628745669E-2</v>
      </c>
      <c r="E29" s="85">
        <v>462924.54</v>
      </c>
      <c r="F29" s="26">
        <v>1.16827265091519E-2</v>
      </c>
      <c r="G29" s="26"/>
      <c r="H29" s="85">
        <v>41456040.999999985</v>
      </c>
      <c r="I29" s="85">
        <v>2294050.4999999995</v>
      </c>
      <c r="J29" s="26">
        <v>5.5336941122766652E-2</v>
      </c>
      <c r="K29" s="85">
        <v>701007.91999999993</v>
      </c>
      <c r="L29" s="26">
        <v>1.6909668725964454E-2</v>
      </c>
      <c r="M29" s="26"/>
      <c r="N29" s="85">
        <v>43324899.07</v>
      </c>
      <c r="O29" s="85">
        <v>2664447.8399999985</v>
      </c>
      <c r="P29" s="26">
        <v>6.1499227861905745E-2</v>
      </c>
      <c r="Q29" s="85">
        <v>699352.15</v>
      </c>
      <c r="R29" s="26">
        <v>1.6142037604520609E-2</v>
      </c>
      <c r="S29" s="26"/>
      <c r="T29" s="85">
        <v>44539394.219999999</v>
      </c>
      <c r="U29" s="85">
        <v>2743993.5000000009</v>
      </c>
      <c r="V29" s="26">
        <v>6.1608235766436092E-2</v>
      </c>
      <c r="W29" s="85">
        <v>689383.28000000026</v>
      </c>
      <c r="X29" s="26">
        <v>1.54780569442599E-2</v>
      </c>
      <c r="Y29" s="26"/>
      <c r="Z29" s="89">
        <v>41940159.899999991</v>
      </c>
      <c r="AA29" s="89">
        <v>3558804.4699999983</v>
      </c>
      <c r="AB29" s="82">
        <f t="shared" si="0"/>
        <v>8.4854337191022464E-2</v>
      </c>
      <c r="AC29" s="89">
        <v>1358200.0299999996</v>
      </c>
      <c r="AD29" s="82">
        <f t="shared" si="1"/>
        <v>3.2384235855047371E-2</v>
      </c>
      <c r="AE29" s="155" t="str">
        <f t="shared" si="2"/>
        <v>OK</v>
      </c>
      <c r="AF29" s="280" t="s">
        <v>10</v>
      </c>
      <c r="AG29" s="283">
        <v>41940159.899999991</v>
      </c>
      <c r="AH29" s="283">
        <v>3558804.4699999983</v>
      </c>
      <c r="AI29" s="217">
        <v>8.4854337191022464E-2</v>
      </c>
      <c r="AJ29" s="283">
        <v>1358200.0299999996</v>
      </c>
      <c r="AK29" s="217">
        <v>3.2384235855047371E-2</v>
      </c>
    </row>
    <row r="30" spans="1:37" x14ac:dyDescent="0.35">
      <c r="A30" s="16" t="s">
        <v>11</v>
      </c>
      <c r="B30" s="85">
        <v>18401941.719999999</v>
      </c>
      <c r="C30" s="85">
        <v>1925685.07</v>
      </c>
      <c r="D30" s="26">
        <v>0.10464575419816079</v>
      </c>
      <c r="E30" s="85">
        <v>795967.81</v>
      </c>
      <c r="F30" s="26">
        <v>4.6013895616156118E-2</v>
      </c>
      <c r="G30" s="26"/>
      <c r="H30" s="85">
        <v>18534132.439999998</v>
      </c>
      <c r="I30" s="85">
        <v>2017622.8800000001</v>
      </c>
      <c r="J30" s="26">
        <v>0.10885985014575629</v>
      </c>
      <c r="K30" s="85">
        <v>957589.46</v>
      </c>
      <c r="L30" s="26">
        <v>5.1666268334920787E-2</v>
      </c>
      <c r="M30" s="26"/>
      <c r="N30" s="85">
        <v>18827205.84</v>
      </c>
      <c r="O30" s="85">
        <v>1282567.2099999993</v>
      </c>
      <c r="P30" s="26">
        <v>6.812307789587535E-2</v>
      </c>
      <c r="Q30" s="85">
        <v>286693.34000000014</v>
      </c>
      <c r="R30" s="26">
        <v>1.5227609579266178E-2</v>
      </c>
      <c r="S30" s="26"/>
      <c r="T30" s="85">
        <v>20036075.870000005</v>
      </c>
      <c r="U30" s="85">
        <v>1763882.0299999991</v>
      </c>
      <c r="V30" s="26">
        <v>8.8035303990890643E-2</v>
      </c>
      <c r="W30" s="85">
        <v>429881.32000000024</v>
      </c>
      <c r="X30" s="26">
        <v>2.1455364952159175E-2</v>
      </c>
      <c r="Y30" s="26"/>
      <c r="Z30" s="89">
        <v>19704881.120000001</v>
      </c>
      <c r="AA30" s="89">
        <v>1346035.3499999992</v>
      </c>
      <c r="AB30" s="82">
        <f t="shared" si="0"/>
        <v>6.8309742231015255E-2</v>
      </c>
      <c r="AC30" s="89">
        <v>478428.63000000012</v>
      </c>
      <c r="AD30" s="82">
        <f t="shared" si="1"/>
        <v>2.4279701414407728E-2</v>
      </c>
      <c r="AE30" s="155" t="str">
        <f t="shared" si="2"/>
        <v>OK</v>
      </c>
      <c r="AF30" s="280" t="s">
        <v>11</v>
      </c>
      <c r="AG30" s="283">
        <v>19704881.120000001</v>
      </c>
      <c r="AH30" s="283">
        <v>1346035.3499999992</v>
      </c>
      <c r="AI30" s="217">
        <v>6.8309742231015255E-2</v>
      </c>
      <c r="AJ30" s="283">
        <v>478428.63000000012</v>
      </c>
      <c r="AK30" s="217">
        <v>2.4279701414407728E-2</v>
      </c>
    </row>
    <row r="31" spans="1:37" x14ac:dyDescent="0.35">
      <c r="A31" s="16" t="s">
        <v>12</v>
      </c>
      <c r="B31" s="85">
        <v>14735601.150000002</v>
      </c>
      <c r="C31" s="85">
        <v>610932.62</v>
      </c>
      <c r="D31" s="26">
        <v>4.1459633290902416E-2</v>
      </c>
      <c r="E31" s="85">
        <v>133799.77000000002</v>
      </c>
      <c r="F31" s="26">
        <v>1.0723438214875824E-2</v>
      </c>
      <c r="G31" s="26"/>
      <c r="H31" s="85">
        <v>16509012.67</v>
      </c>
      <c r="I31" s="85">
        <v>695284.79</v>
      </c>
      <c r="J31" s="26">
        <v>4.2115467708342368E-2</v>
      </c>
      <c r="K31" s="85">
        <v>268329.93</v>
      </c>
      <c r="L31" s="26">
        <v>1.6253541950913046E-2</v>
      </c>
      <c r="M31" s="26"/>
      <c r="N31" s="85">
        <v>18294673.719999999</v>
      </c>
      <c r="O31" s="85">
        <v>478614.67999999976</v>
      </c>
      <c r="P31" s="26">
        <v>2.6161422025076694E-2</v>
      </c>
      <c r="Q31" s="85">
        <v>93066.639999999985</v>
      </c>
      <c r="R31" s="26">
        <v>5.0870893585961141E-3</v>
      </c>
      <c r="S31" s="26"/>
      <c r="T31" s="85">
        <v>21574376.949999999</v>
      </c>
      <c r="U31" s="85">
        <v>946240.83000000042</v>
      </c>
      <c r="V31" s="26">
        <v>4.3859474236172577E-2</v>
      </c>
      <c r="W31" s="85">
        <v>167553.56</v>
      </c>
      <c r="X31" s="26">
        <v>7.7663220768004609E-3</v>
      </c>
      <c r="Y31" s="26"/>
      <c r="Z31" s="89">
        <v>23174431.490000002</v>
      </c>
      <c r="AA31" s="89">
        <v>757048.5499999997</v>
      </c>
      <c r="AB31" s="82">
        <f t="shared" si="0"/>
        <v>3.266740546911253E-2</v>
      </c>
      <c r="AC31" s="89">
        <v>231147.21999999994</v>
      </c>
      <c r="AD31" s="82">
        <f t="shared" si="1"/>
        <v>9.9742347552190126E-3</v>
      </c>
      <c r="AE31" s="155" t="str">
        <f t="shared" si="2"/>
        <v>OK</v>
      </c>
      <c r="AF31" s="280" t="s">
        <v>12</v>
      </c>
      <c r="AG31" s="283">
        <v>23174431.490000002</v>
      </c>
      <c r="AH31" s="283">
        <v>757048.5499999997</v>
      </c>
      <c r="AI31" s="217">
        <v>3.266740546911253E-2</v>
      </c>
      <c r="AJ31" s="283">
        <v>231147.21999999994</v>
      </c>
      <c r="AK31" s="217">
        <v>9.9742347552190126E-3</v>
      </c>
    </row>
    <row r="32" spans="1:37" x14ac:dyDescent="0.35">
      <c r="A32" s="16" t="s">
        <v>13</v>
      </c>
      <c r="B32" s="85">
        <v>11069518.399999999</v>
      </c>
      <c r="C32" s="85">
        <v>264558.97000000003</v>
      </c>
      <c r="D32" s="26">
        <v>2.3899772369500742E-2</v>
      </c>
      <c r="E32" s="85">
        <v>2049.67</v>
      </c>
      <c r="F32" s="26">
        <v>1.8501875900762732E-4</v>
      </c>
      <c r="G32" s="26"/>
      <c r="H32" s="85">
        <v>10182488.870000001</v>
      </c>
      <c r="I32" s="85">
        <v>382664.47</v>
      </c>
      <c r="J32" s="26">
        <v>3.7580642108769616E-2</v>
      </c>
      <c r="K32" s="85">
        <v>48647.72</v>
      </c>
      <c r="L32" s="26">
        <v>4.7775863662692123E-3</v>
      </c>
      <c r="M32" s="26"/>
      <c r="N32" s="85">
        <v>11067209.25</v>
      </c>
      <c r="O32" s="85">
        <v>352410.95999999996</v>
      </c>
      <c r="P32" s="26">
        <v>3.1842802646927452E-2</v>
      </c>
      <c r="Q32" s="85">
        <v>76917.22</v>
      </c>
      <c r="R32" s="26">
        <v>6.9500104554361796E-3</v>
      </c>
      <c r="S32" s="26"/>
      <c r="T32" s="85">
        <v>11563128.100000001</v>
      </c>
      <c r="U32" s="85">
        <v>412091.54</v>
      </c>
      <c r="V32" s="26">
        <v>3.5638413449730781E-2</v>
      </c>
      <c r="W32" s="85">
        <v>57758</v>
      </c>
      <c r="X32" s="26">
        <v>4.9950151464636973E-3</v>
      </c>
      <c r="Y32" s="26"/>
      <c r="Z32" s="89">
        <v>11692164.07</v>
      </c>
      <c r="AA32" s="89">
        <v>326135.87999999989</v>
      </c>
      <c r="AB32" s="82">
        <f t="shared" si="0"/>
        <v>2.7893542893124991E-2</v>
      </c>
      <c r="AC32" s="89">
        <v>23454.2</v>
      </c>
      <c r="AD32" s="82">
        <f t="shared" si="1"/>
        <v>2.0059759561687368E-3</v>
      </c>
      <c r="AE32" s="155" t="str">
        <f t="shared" si="2"/>
        <v>OK</v>
      </c>
      <c r="AF32" s="280" t="s">
        <v>13</v>
      </c>
      <c r="AG32" s="283">
        <v>11692164.07</v>
      </c>
      <c r="AH32" s="283">
        <v>326135.87999999989</v>
      </c>
      <c r="AI32" s="217">
        <v>2.7893542893124991E-2</v>
      </c>
      <c r="AJ32" s="283">
        <v>23454.2</v>
      </c>
      <c r="AK32" s="217">
        <v>2.0059759561687368E-3</v>
      </c>
    </row>
    <row r="33" spans="1:37" x14ac:dyDescent="0.35">
      <c r="A33" s="16" t="s">
        <v>343</v>
      </c>
      <c r="B33" s="85">
        <v>24654560.070000008</v>
      </c>
      <c r="C33" s="85">
        <v>298665.88999999996</v>
      </c>
      <c r="D33" s="26">
        <v>1.211402228034158E-2</v>
      </c>
      <c r="E33" s="85">
        <v>53283.330000000009</v>
      </c>
      <c r="F33" s="26">
        <v>2.4588610527295396E-3</v>
      </c>
      <c r="G33" s="26"/>
      <c r="H33" s="85">
        <v>25833534.990000002</v>
      </c>
      <c r="I33" s="85">
        <v>108961.45000000003</v>
      </c>
      <c r="J33" s="26">
        <v>4.2178296559947492E-3</v>
      </c>
      <c r="K33" s="85">
        <v>4369.17</v>
      </c>
      <c r="L33" s="26">
        <v>1.6912784106748373E-4</v>
      </c>
      <c r="M33" s="26"/>
      <c r="N33" s="85">
        <v>26856319.289999988</v>
      </c>
      <c r="O33" s="85">
        <v>121182.74000000002</v>
      </c>
      <c r="P33" s="26">
        <v>4.5122616651762362E-3</v>
      </c>
      <c r="Q33" s="85">
        <v>33441.01</v>
      </c>
      <c r="R33" s="26">
        <v>1.2451821725418582E-3</v>
      </c>
      <c r="S33" s="26"/>
      <c r="T33" s="85">
        <v>27062573.02</v>
      </c>
      <c r="U33" s="85">
        <v>185796.68</v>
      </c>
      <c r="V33" s="26">
        <v>6.8654477112243184E-3</v>
      </c>
      <c r="W33" s="85">
        <v>25228.959999999999</v>
      </c>
      <c r="X33" s="26">
        <v>9.3224542918942299E-4</v>
      </c>
      <c r="Y33" s="26"/>
      <c r="Z33" s="89">
        <v>26124296.649999991</v>
      </c>
      <c r="AA33" s="89">
        <v>112419.85000000003</v>
      </c>
      <c r="AB33" s="82">
        <f t="shared" si="0"/>
        <v>4.3032680077915155E-3</v>
      </c>
      <c r="AC33" s="89">
        <v>20001.04</v>
      </c>
      <c r="AD33" s="82">
        <f t="shared" si="1"/>
        <v>7.6561065999072582E-4</v>
      </c>
      <c r="AE33" s="155" t="str">
        <f t="shared" si="2"/>
        <v>OK</v>
      </c>
      <c r="AF33" s="280" t="s">
        <v>343</v>
      </c>
      <c r="AG33" s="283">
        <v>26124296.649999991</v>
      </c>
      <c r="AH33" s="283">
        <v>112419.85000000003</v>
      </c>
      <c r="AI33" s="217">
        <v>4.3032680077915155E-3</v>
      </c>
      <c r="AJ33" s="283">
        <v>20001.04</v>
      </c>
      <c r="AK33" s="217">
        <v>7.6561065999072582E-4</v>
      </c>
    </row>
    <row r="34" spans="1:37" x14ac:dyDescent="0.35">
      <c r="A34" s="16" t="s">
        <v>14</v>
      </c>
      <c r="B34" s="85">
        <v>20249347.920000002</v>
      </c>
      <c r="C34" s="85">
        <v>1159518.6599999999</v>
      </c>
      <c r="D34" s="26">
        <v>5.7262024662767502E-2</v>
      </c>
      <c r="E34" s="85">
        <v>151738.35</v>
      </c>
      <c r="F34" s="26">
        <v>8.9438228488083558E-3</v>
      </c>
      <c r="G34" s="26"/>
      <c r="H34" s="85">
        <v>21957569.520000003</v>
      </c>
      <c r="I34" s="85">
        <v>2030140.01</v>
      </c>
      <c r="J34" s="26">
        <v>9.2457410104103355E-2</v>
      </c>
      <c r="K34" s="85">
        <v>330954.92000000004</v>
      </c>
      <c r="L34" s="26">
        <v>1.5072475106980784E-2</v>
      </c>
      <c r="M34" s="26"/>
      <c r="N34" s="85">
        <v>23498197.5</v>
      </c>
      <c r="O34" s="85">
        <v>1904520.879999999</v>
      </c>
      <c r="P34" s="26">
        <v>8.1049658383371706E-2</v>
      </c>
      <c r="Q34" s="85">
        <v>303205.83</v>
      </c>
      <c r="R34" s="26">
        <v>1.2903365460265622E-2</v>
      </c>
      <c r="S34" s="26"/>
      <c r="T34" s="85">
        <v>24948845.27</v>
      </c>
      <c r="U34" s="85">
        <v>2587526.9200000027</v>
      </c>
      <c r="V34" s="26">
        <v>0.10371329382171453</v>
      </c>
      <c r="W34" s="85">
        <v>483891.6200000004</v>
      </c>
      <c r="X34" s="26">
        <v>1.9395351358479942E-2</v>
      </c>
      <c r="Y34" s="26"/>
      <c r="Z34" s="89">
        <v>24427952.339999996</v>
      </c>
      <c r="AA34" s="89">
        <v>2463622.1100000031</v>
      </c>
      <c r="AB34" s="82">
        <f t="shared" si="0"/>
        <v>0.10085258378230501</v>
      </c>
      <c r="AC34" s="89">
        <v>461316.6599999998</v>
      </c>
      <c r="AD34" s="82">
        <f t="shared" si="1"/>
        <v>1.8884786312793334E-2</v>
      </c>
      <c r="AE34" s="155" t="str">
        <f t="shared" si="2"/>
        <v>OK</v>
      </c>
      <c r="AF34" s="280" t="s">
        <v>14</v>
      </c>
      <c r="AG34" s="283">
        <v>24427952.339999996</v>
      </c>
      <c r="AH34" s="283">
        <v>2463622.1100000031</v>
      </c>
      <c r="AI34" s="217">
        <v>0.10085258378230501</v>
      </c>
      <c r="AJ34" s="283">
        <v>461316.6599999998</v>
      </c>
      <c r="AK34" s="217">
        <v>1.8884786312793334E-2</v>
      </c>
    </row>
    <row r="35" spans="1:37" x14ac:dyDescent="0.35">
      <c r="A35" s="16" t="s">
        <v>15</v>
      </c>
      <c r="B35" s="85">
        <v>55024713.050000004</v>
      </c>
      <c r="C35" s="85">
        <v>7965563.7799999993</v>
      </c>
      <c r="D35" s="26">
        <v>0.14476338609456862</v>
      </c>
      <c r="E35" s="85">
        <v>1434691.1500000001</v>
      </c>
      <c r="F35" s="26">
        <v>2.918487009579894E-2</v>
      </c>
      <c r="G35" s="26"/>
      <c r="H35" s="85">
        <v>57971073.359999992</v>
      </c>
      <c r="I35" s="85">
        <v>8480247.0600000005</v>
      </c>
      <c r="J35" s="26">
        <v>0.14628411323933441</v>
      </c>
      <c r="K35" s="85">
        <v>991050.46999999986</v>
      </c>
      <c r="L35" s="26">
        <v>1.7095603247598727E-2</v>
      </c>
      <c r="M35" s="26"/>
      <c r="N35" s="85">
        <v>60464246.619999997</v>
      </c>
      <c r="O35" s="85">
        <v>9924098.4100000001</v>
      </c>
      <c r="P35" s="26">
        <v>0.16413168053461477</v>
      </c>
      <c r="Q35" s="85">
        <v>1286040.3599999992</v>
      </c>
      <c r="R35" s="26">
        <v>2.1269434945288983E-2</v>
      </c>
      <c r="S35" s="26"/>
      <c r="T35" s="85">
        <v>64648602.189999998</v>
      </c>
      <c r="U35" s="85">
        <v>9097689.8099999968</v>
      </c>
      <c r="V35" s="26">
        <v>0.1407252361506936</v>
      </c>
      <c r="W35" s="85">
        <v>1077215.45</v>
      </c>
      <c r="X35" s="26">
        <v>1.6662625540365145E-2</v>
      </c>
      <c r="Y35" s="26"/>
      <c r="Z35" s="89">
        <v>65582735.319999993</v>
      </c>
      <c r="AA35" s="89">
        <v>10282083.229999987</v>
      </c>
      <c r="AB35" s="82">
        <f t="shared" si="0"/>
        <v>0.15678033524875534</v>
      </c>
      <c r="AC35" s="89">
        <v>1274980.3800000001</v>
      </c>
      <c r="AD35" s="82">
        <f t="shared" si="1"/>
        <v>1.94407929736225E-2</v>
      </c>
      <c r="AE35" s="155" t="str">
        <f t="shared" si="2"/>
        <v>OK</v>
      </c>
      <c r="AF35" s="280" t="s">
        <v>15</v>
      </c>
      <c r="AG35" s="283">
        <v>65582735.319999993</v>
      </c>
      <c r="AH35" s="283">
        <v>10282083.229999987</v>
      </c>
      <c r="AI35" s="217">
        <v>0.15678033524875534</v>
      </c>
      <c r="AJ35" s="283">
        <v>1274980.3800000001</v>
      </c>
      <c r="AK35" s="217">
        <v>1.94407929736225E-2</v>
      </c>
    </row>
    <row r="36" spans="1:37" x14ac:dyDescent="0.35">
      <c r="A36" s="16" t="s">
        <v>16</v>
      </c>
      <c r="B36" s="85">
        <v>14841885.27</v>
      </c>
      <c r="C36" s="85">
        <v>396457.42</v>
      </c>
      <c r="D36" s="26">
        <v>2.6712066074339087E-2</v>
      </c>
      <c r="E36" s="85">
        <v>37880.47</v>
      </c>
      <c r="F36" s="26">
        <v>2.8007328450958954E-3</v>
      </c>
      <c r="G36" s="26"/>
      <c r="H36" s="85">
        <v>15864299.09</v>
      </c>
      <c r="I36" s="85">
        <v>337624.59</v>
      </c>
      <c r="J36" s="26">
        <v>2.1282036356262371E-2</v>
      </c>
      <c r="K36" s="85">
        <v>18208.54</v>
      </c>
      <c r="L36" s="26">
        <v>1.1477683253890293E-3</v>
      </c>
      <c r="M36" s="26"/>
      <c r="N36" s="85">
        <v>17961596.48</v>
      </c>
      <c r="O36" s="85">
        <v>586472.32999999984</v>
      </c>
      <c r="P36" s="26">
        <v>3.265145894202829E-2</v>
      </c>
      <c r="Q36" s="85">
        <v>68542.260000000009</v>
      </c>
      <c r="R36" s="26">
        <v>3.8160449755299261E-3</v>
      </c>
      <c r="S36" s="26"/>
      <c r="T36" s="85">
        <v>18902570.98</v>
      </c>
      <c r="U36" s="85">
        <v>976396.88999999897</v>
      </c>
      <c r="V36" s="26">
        <v>5.1654184556856456E-2</v>
      </c>
      <c r="W36" s="85">
        <v>317319.85000000009</v>
      </c>
      <c r="X36" s="26">
        <v>1.6787126488547119E-2</v>
      </c>
      <c r="Y36" s="26"/>
      <c r="Z36" s="89">
        <v>18895549.809999999</v>
      </c>
      <c r="AA36" s="89">
        <v>1313526.2</v>
      </c>
      <c r="AB36" s="82">
        <f t="shared" si="0"/>
        <v>6.9515108753535657E-2</v>
      </c>
      <c r="AC36" s="89">
        <v>376861.91999999981</v>
      </c>
      <c r="AD36" s="82">
        <f t="shared" si="1"/>
        <v>1.994448025008275E-2</v>
      </c>
      <c r="AE36" s="155" t="str">
        <f t="shared" si="2"/>
        <v>OK</v>
      </c>
      <c r="AF36" s="280" t="s">
        <v>16</v>
      </c>
      <c r="AG36" s="283">
        <v>18895549.809999999</v>
      </c>
      <c r="AH36" s="283">
        <v>1313526.2</v>
      </c>
      <c r="AI36" s="217">
        <v>6.9515108753535657E-2</v>
      </c>
      <c r="AJ36" s="283">
        <v>376861.91999999981</v>
      </c>
      <c r="AK36" s="217">
        <v>1.994448025008275E-2</v>
      </c>
    </row>
    <row r="37" spans="1:37" x14ac:dyDescent="0.35">
      <c r="A37" s="16" t="s">
        <v>344</v>
      </c>
      <c r="B37" s="85">
        <v>10769000.609999999</v>
      </c>
      <c r="C37" s="85">
        <v>72335.28</v>
      </c>
      <c r="D37" s="26">
        <v>6.7169909836229461E-3</v>
      </c>
      <c r="E37" s="85">
        <v>2054.06</v>
      </c>
      <c r="F37" s="26">
        <v>2.9286587408098246E-4</v>
      </c>
      <c r="G37" s="26"/>
      <c r="H37" s="85">
        <v>11513718.52</v>
      </c>
      <c r="I37" s="85">
        <v>69030.62</v>
      </c>
      <c r="J37" s="26">
        <v>5.9955104756199999E-3</v>
      </c>
      <c r="K37" s="85">
        <v>0</v>
      </c>
      <c r="L37" s="26">
        <v>0</v>
      </c>
      <c r="M37" s="26"/>
      <c r="N37" s="85">
        <v>12172337.279999999</v>
      </c>
      <c r="O37" s="85">
        <v>32784.090000000004</v>
      </c>
      <c r="P37" s="26">
        <v>2.6933274395761738E-3</v>
      </c>
      <c r="Q37" s="85"/>
      <c r="R37" s="26">
        <v>0</v>
      </c>
      <c r="S37" s="26"/>
      <c r="T37" s="85">
        <v>12080418.92</v>
      </c>
      <c r="U37" s="85">
        <v>106918.24000000003</v>
      </c>
      <c r="V37" s="26">
        <v>8.8505407559161062E-3</v>
      </c>
      <c r="W37" s="85">
        <v>46343.669999999991</v>
      </c>
      <c r="X37" s="26">
        <v>3.8362634861341372E-3</v>
      </c>
      <c r="Y37" s="26"/>
      <c r="Z37" s="89">
        <v>11307543</v>
      </c>
      <c r="AA37" s="89">
        <v>558912.3899999999</v>
      </c>
      <c r="AB37" s="82">
        <f t="shared" si="0"/>
        <v>4.9428278981561234E-2</v>
      </c>
      <c r="AC37" s="89">
        <v>375020.30000000005</v>
      </c>
      <c r="AD37" s="82">
        <f t="shared" si="1"/>
        <v>3.3165498464166797E-2</v>
      </c>
      <c r="AE37" s="155" t="str">
        <f t="shared" si="2"/>
        <v>OK</v>
      </c>
      <c r="AF37" s="280" t="s">
        <v>344</v>
      </c>
      <c r="AG37" s="283">
        <v>11307543</v>
      </c>
      <c r="AH37" s="283">
        <v>558912.3899999999</v>
      </c>
      <c r="AI37" s="217">
        <v>4.9428278981561234E-2</v>
      </c>
      <c r="AJ37" s="283">
        <v>375020.30000000005</v>
      </c>
      <c r="AK37" s="217">
        <v>3.3165498464166797E-2</v>
      </c>
    </row>
    <row r="38" spans="1:37" x14ac:dyDescent="0.35">
      <c r="A38" s="16" t="s">
        <v>17</v>
      </c>
      <c r="B38" s="85">
        <v>8042014.5</v>
      </c>
      <c r="C38" s="85">
        <v>10261.35</v>
      </c>
      <c r="D38" s="26">
        <v>1.2759676073700191E-3</v>
      </c>
      <c r="E38" s="85">
        <v>0</v>
      </c>
      <c r="F38" s="26">
        <v>0</v>
      </c>
      <c r="G38" s="26"/>
      <c r="H38" s="85">
        <v>8796220.0500000007</v>
      </c>
      <c r="I38" s="85">
        <v>122015.74</v>
      </c>
      <c r="J38" s="26">
        <v>1.3871383310834748E-2</v>
      </c>
      <c r="K38" s="85">
        <v>52774.83</v>
      </c>
      <c r="L38" s="26">
        <v>5.9997168897565267E-3</v>
      </c>
      <c r="M38" s="26"/>
      <c r="N38" s="85">
        <v>10022708.609999999</v>
      </c>
      <c r="O38" s="85">
        <v>122940.65</v>
      </c>
      <c r="P38" s="26">
        <v>1.2266210141771247E-2</v>
      </c>
      <c r="Q38" s="85">
        <v>75317.38</v>
      </c>
      <c r="R38" s="26">
        <v>7.514673221653204E-3</v>
      </c>
      <c r="S38" s="26"/>
      <c r="T38" s="85">
        <v>10011689.76</v>
      </c>
      <c r="U38" s="85">
        <v>89666.499999999971</v>
      </c>
      <c r="V38" s="26">
        <v>8.9561804400139517E-3</v>
      </c>
      <c r="W38" s="85">
        <v>10846.21</v>
      </c>
      <c r="X38" s="26">
        <v>1.0833545844912396E-3</v>
      </c>
      <c r="Y38" s="26"/>
      <c r="Z38" s="89">
        <v>9987510.8599999994</v>
      </c>
      <c r="AA38" s="89">
        <v>59391.280000000013</v>
      </c>
      <c r="AB38" s="82">
        <f t="shared" si="0"/>
        <v>5.9465547354608855E-3</v>
      </c>
      <c r="AC38" s="89">
        <v>29493.219999999998</v>
      </c>
      <c r="AD38" s="82">
        <f t="shared" si="1"/>
        <v>2.9530100556005804E-3</v>
      </c>
      <c r="AE38" s="155" t="str">
        <f t="shared" si="2"/>
        <v>OK</v>
      </c>
      <c r="AF38" s="280" t="s">
        <v>17</v>
      </c>
      <c r="AG38" s="283">
        <v>9987510.8599999994</v>
      </c>
      <c r="AH38" s="283">
        <v>59391.280000000013</v>
      </c>
      <c r="AI38" s="217">
        <v>5.9465547354608855E-3</v>
      </c>
      <c r="AJ38" s="283">
        <v>29493.219999999998</v>
      </c>
      <c r="AK38" s="217">
        <v>2.9530100556005804E-3</v>
      </c>
    </row>
    <row r="39" spans="1:37" x14ac:dyDescent="0.35">
      <c r="A39" s="16" t="s">
        <v>358</v>
      </c>
      <c r="B39" s="85">
        <v>34210535.159999996</v>
      </c>
      <c r="C39" s="85">
        <v>2748685.43</v>
      </c>
      <c r="D39" s="26">
        <v>8.0346168720968947E-2</v>
      </c>
      <c r="E39" s="85">
        <v>442152.27</v>
      </c>
      <c r="F39" s="26">
        <v>1.4071305955042156E-2</v>
      </c>
      <c r="G39" s="26"/>
      <c r="H39" s="85">
        <v>33646832.749999993</v>
      </c>
      <c r="I39" s="85">
        <v>2441837.4000000004</v>
      </c>
      <c r="J39" s="26">
        <v>7.2572578172309568E-2</v>
      </c>
      <c r="K39" s="85">
        <v>343449.23000000016</v>
      </c>
      <c r="L39" s="26">
        <v>1.020747576902317E-2</v>
      </c>
      <c r="M39" s="26"/>
      <c r="N39" s="85">
        <v>25911628.609999996</v>
      </c>
      <c r="O39" s="85">
        <v>5056106.2799999965</v>
      </c>
      <c r="P39" s="26">
        <v>0.19512884952544854</v>
      </c>
      <c r="Q39" s="85">
        <v>1262334.74</v>
      </c>
      <c r="R39" s="26">
        <v>4.8716920074750952E-2</v>
      </c>
      <c r="S39" s="26"/>
      <c r="T39" s="85">
        <v>27035739.859999999</v>
      </c>
      <c r="U39" s="85">
        <v>4097490.5699999989</v>
      </c>
      <c r="V39" s="26">
        <v>0.15155829251273167</v>
      </c>
      <c r="W39" s="85">
        <v>427601.56000000011</v>
      </c>
      <c r="X39" s="26">
        <v>1.5816158988592965E-2</v>
      </c>
      <c r="Y39" s="26"/>
      <c r="Z39" s="89">
        <v>26009082.120000001</v>
      </c>
      <c r="AA39" s="89">
        <v>5415166.6600000048</v>
      </c>
      <c r="AB39" s="82">
        <f t="shared" si="0"/>
        <v>0.20820291292924736</v>
      </c>
      <c r="AC39" s="89">
        <v>1263273.1100000001</v>
      </c>
      <c r="AD39" s="82">
        <f t="shared" si="1"/>
        <v>4.8570461047858005E-2</v>
      </c>
      <c r="AE39" s="155" t="str">
        <f t="shared" si="2"/>
        <v>OK</v>
      </c>
      <c r="AF39" s="280" t="s">
        <v>358</v>
      </c>
      <c r="AG39" s="283">
        <v>26009082.120000001</v>
      </c>
      <c r="AH39" s="283">
        <v>5415166.6600000048</v>
      </c>
      <c r="AI39" s="217">
        <v>0.20820291292924736</v>
      </c>
      <c r="AJ39" s="283">
        <v>1263273.1100000001</v>
      </c>
      <c r="AK39" s="217">
        <v>4.8570461047858005E-2</v>
      </c>
    </row>
    <row r="40" spans="1:37" x14ac:dyDescent="0.35">
      <c r="A40" s="16" t="s">
        <v>25</v>
      </c>
      <c r="B40" s="85">
        <v>32673503.070000004</v>
      </c>
      <c r="C40" s="85">
        <v>166480.63999999998</v>
      </c>
      <c r="D40" s="26">
        <v>5.0952797942519475E-3</v>
      </c>
      <c r="E40" s="85">
        <v>54438.45</v>
      </c>
      <c r="F40" s="26">
        <v>1.7903071606229332E-3</v>
      </c>
      <c r="G40" s="26"/>
      <c r="H40" s="85">
        <v>33755204.050000004</v>
      </c>
      <c r="I40" s="85">
        <v>134689.10999999999</v>
      </c>
      <c r="J40" s="26">
        <v>3.990173183385036E-3</v>
      </c>
      <c r="K40" s="85">
        <v>86748.5</v>
      </c>
      <c r="L40" s="26">
        <v>2.5699296580018747E-3</v>
      </c>
      <c r="M40" s="26"/>
      <c r="N40" s="85">
        <v>36544640.450000003</v>
      </c>
      <c r="O40" s="85">
        <v>110182.54999999997</v>
      </c>
      <c r="P40" s="26">
        <v>3.0150125611647649E-3</v>
      </c>
      <c r="Q40" s="85">
        <v>34358</v>
      </c>
      <c r="R40" s="26">
        <v>9.401652219566439E-4</v>
      </c>
      <c r="S40" s="26"/>
      <c r="T40" s="85">
        <v>32278116.260000002</v>
      </c>
      <c r="U40" s="85">
        <v>191591.11999999997</v>
      </c>
      <c r="V40" s="26">
        <v>5.9356351051199777E-3</v>
      </c>
      <c r="W40" s="85">
        <v>10642.46</v>
      </c>
      <c r="X40" s="26">
        <v>3.2971131011100702E-4</v>
      </c>
      <c r="Y40" s="26"/>
      <c r="Z40" s="89">
        <v>29852729.559999999</v>
      </c>
      <c r="AA40" s="89">
        <v>309455.99999999994</v>
      </c>
      <c r="AB40" s="82">
        <f t="shared" si="0"/>
        <v>1.03660872744663E-2</v>
      </c>
      <c r="AC40" s="89">
        <v>242801.23000000004</v>
      </c>
      <c r="AD40" s="82">
        <f t="shared" si="1"/>
        <v>8.1333008263784392E-3</v>
      </c>
      <c r="AE40" s="155" t="str">
        <f t="shared" si="2"/>
        <v>OK</v>
      </c>
      <c r="AF40" s="280" t="s">
        <v>25</v>
      </c>
      <c r="AG40" s="283">
        <v>29852729.559999999</v>
      </c>
      <c r="AH40" s="283">
        <v>309455.99999999994</v>
      </c>
      <c r="AI40" s="217">
        <v>1.03660872744663E-2</v>
      </c>
      <c r="AJ40" s="283">
        <v>242801.23000000004</v>
      </c>
      <c r="AK40" s="217">
        <v>8.1333008263784392E-3</v>
      </c>
    </row>
    <row r="41" spans="1:37" x14ac:dyDescent="0.35">
      <c r="A41" s="16" t="s">
        <v>18</v>
      </c>
      <c r="B41" s="85">
        <v>28892953.979999997</v>
      </c>
      <c r="C41" s="85">
        <v>1872740.1200000003</v>
      </c>
      <c r="D41" s="26">
        <v>6.481649890476171E-2</v>
      </c>
      <c r="E41" s="85">
        <v>768667.60000000009</v>
      </c>
      <c r="F41" s="26">
        <v>2.7042458096282709E-2</v>
      </c>
      <c r="G41" s="26"/>
      <c r="H41" s="85">
        <v>29973462.350000005</v>
      </c>
      <c r="I41" s="85">
        <v>1693681.6200000003</v>
      </c>
      <c r="J41" s="26">
        <v>5.6506038582492958E-2</v>
      </c>
      <c r="K41" s="85">
        <v>631102.95000000007</v>
      </c>
      <c r="L41" s="26">
        <v>2.1055390352659742E-2</v>
      </c>
      <c r="M41" s="26"/>
      <c r="N41" s="85">
        <v>31390435.940000009</v>
      </c>
      <c r="O41" s="85">
        <v>2150582.5999999987</v>
      </c>
      <c r="P41" s="26">
        <v>6.8510759267907062E-2</v>
      </c>
      <c r="Q41" s="85">
        <v>425530.86999999988</v>
      </c>
      <c r="R41" s="26">
        <v>1.355606754915299E-2</v>
      </c>
      <c r="S41" s="26"/>
      <c r="T41" s="85">
        <v>32801884.189999998</v>
      </c>
      <c r="U41" s="85">
        <v>1183215.2300000002</v>
      </c>
      <c r="V41" s="26">
        <v>3.6071562936641183E-2</v>
      </c>
      <c r="W41" s="85">
        <v>485032.61000000004</v>
      </c>
      <c r="X41" s="26">
        <v>1.4786730152162033E-2</v>
      </c>
      <c r="Y41" s="26"/>
      <c r="Z41" s="89">
        <v>29225973.22000001</v>
      </c>
      <c r="AA41" s="89">
        <v>1367452.2099999995</v>
      </c>
      <c r="AB41" s="82">
        <f t="shared" si="0"/>
        <v>4.6788936666246596E-2</v>
      </c>
      <c r="AC41" s="89">
        <v>1080847.8799999999</v>
      </c>
      <c r="AD41" s="82">
        <f t="shared" si="1"/>
        <v>3.6982442701355471E-2</v>
      </c>
      <c r="AE41" s="155" t="str">
        <f t="shared" si="2"/>
        <v>OK</v>
      </c>
      <c r="AF41" s="280" t="s">
        <v>18</v>
      </c>
      <c r="AG41" s="283">
        <v>29225973.22000001</v>
      </c>
      <c r="AH41" s="283">
        <v>1367452.2099999995</v>
      </c>
      <c r="AI41" s="217">
        <v>4.6788936666246596E-2</v>
      </c>
      <c r="AJ41" s="283">
        <v>1080847.8799999999</v>
      </c>
      <c r="AK41" s="217">
        <v>3.6982442701355471E-2</v>
      </c>
    </row>
    <row r="42" spans="1:37" x14ac:dyDescent="0.35">
      <c r="A42" s="16" t="s">
        <v>353</v>
      </c>
      <c r="B42" s="85">
        <v>77981333.159999996</v>
      </c>
      <c r="C42" s="85">
        <v>1749184.1400000006</v>
      </c>
      <c r="D42" s="26">
        <v>2.2430805798242404E-2</v>
      </c>
      <c r="E42" s="85">
        <v>293118.32999999984</v>
      </c>
      <c r="F42" s="26">
        <v>4.065885873198013E-3</v>
      </c>
      <c r="G42" s="26"/>
      <c r="H42" s="85">
        <v>81933299.61999996</v>
      </c>
      <c r="I42" s="85">
        <v>1729472.1</v>
      </c>
      <c r="J42" s="26">
        <v>2.1108293063029956E-2</v>
      </c>
      <c r="K42" s="85">
        <v>442123.72</v>
      </c>
      <c r="L42" s="26">
        <v>5.3961420088112421E-3</v>
      </c>
      <c r="M42" s="26"/>
      <c r="N42" s="85">
        <v>86089811.99999997</v>
      </c>
      <c r="O42" s="85">
        <v>2454200.7299999967</v>
      </c>
      <c r="P42" s="26">
        <v>2.8507446734812217E-2</v>
      </c>
      <c r="Q42" s="85">
        <v>966657.37999999884</v>
      </c>
      <c r="R42" s="26">
        <v>1.1228475908392032E-2</v>
      </c>
      <c r="S42" s="26"/>
      <c r="T42" s="85">
        <v>87153447.830000028</v>
      </c>
      <c r="U42" s="85">
        <v>2348049.0799999977</v>
      </c>
      <c r="V42" s="26">
        <v>2.6941551234783742E-2</v>
      </c>
      <c r="W42" s="85">
        <v>642734.56000000017</v>
      </c>
      <c r="X42" s="26">
        <v>7.3747462206395645E-3</v>
      </c>
      <c r="Y42" s="26"/>
      <c r="Z42" s="89">
        <v>82140265.049999982</v>
      </c>
      <c r="AA42" s="89">
        <v>7693429.5399999991</v>
      </c>
      <c r="AB42" s="82">
        <f t="shared" si="0"/>
        <v>9.3662097819101217E-2</v>
      </c>
      <c r="AC42" s="89">
        <v>4273861.1099999966</v>
      </c>
      <c r="AD42" s="82">
        <f t="shared" si="1"/>
        <v>5.2031255406814608E-2</v>
      </c>
      <c r="AE42" s="155" t="str">
        <f t="shared" si="2"/>
        <v>OK</v>
      </c>
      <c r="AF42" s="280" t="s">
        <v>353</v>
      </c>
      <c r="AG42" s="283">
        <v>82140265.049999982</v>
      </c>
      <c r="AH42" s="283">
        <v>7693429.5399999991</v>
      </c>
      <c r="AI42" s="217">
        <v>9.3662097819101217E-2</v>
      </c>
      <c r="AJ42" s="283">
        <v>4273861.1099999966</v>
      </c>
      <c r="AK42" s="217">
        <v>5.2031255406814608E-2</v>
      </c>
    </row>
    <row r="43" spans="1:37" x14ac:dyDescent="0.35">
      <c r="A43" s="16" t="s">
        <v>354</v>
      </c>
      <c r="B43" s="85">
        <v>70114985.319999978</v>
      </c>
      <c r="C43" s="85">
        <v>6478381.9300000016</v>
      </c>
      <c r="D43" s="26">
        <v>9.2396538349585486E-2</v>
      </c>
      <c r="E43" s="85">
        <v>2639613.0300000003</v>
      </c>
      <c r="F43" s="26">
        <v>4.0495876829772771E-2</v>
      </c>
      <c r="G43" s="26"/>
      <c r="H43" s="85">
        <v>71158850.00999999</v>
      </c>
      <c r="I43" s="85">
        <v>2789325.1700000009</v>
      </c>
      <c r="J43" s="26">
        <v>3.9198570095048131E-2</v>
      </c>
      <c r="K43" s="85">
        <v>805124.00999999989</v>
      </c>
      <c r="L43" s="26">
        <v>1.1314460673364668E-2</v>
      </c>
      <c r="M43" s="26"/>
      <c r="N43" s="85">
        <v>70580532.390000015</v>
      </c>
      <c r="O43" s="85">
        <v>1933643.99</v>
      </c>
      <c r="P43" s="26">
        <v>2.7396279462946673E-2</v>
      </c>
      <c r="Q43" s="85">
        <v>500620.19000000012</v>
      </c>
      <c r="R43" s="26">
        <v>7.0928933665981948E-3</v>
      </c>
      <c r="S43" s="26"/>
      <c r="T43" s="85">
        <v>69381441.519999996</v>
      </c>
      <c r="U43" s="85">
        <v>1644575.6799999997</v>
      </c>
      <c r="V43" s="26">
        <v>2.3703394509696545E-2</v>
      </c>
      <c r="W43" s="85">
        <v>319885.47999999992</v>
      </c>
      <c r="X43" s="26">
        <v>4.6105337824061971E-3</v>
      </c>
      <c r="Y43" s="26"/>
      <c r="Z43" s="89">
        <v>63414484.989999987</v>
      </c>
      <c r="AA43" s="89">
        <v>3313410.3800000022</v>
      </c>
      <c r="AB43" s="82">
        <f t="shared" si="0"/>
        <v>5.2250055811736126E-2</v>
      </c>
      <c r="AC43" s="89">
        <v>1053007.7499999998</v>
      </c>
      <c r="AD43" s="82">
        <f t="shared" si="1"/>
        <v>1.6605161268218951E-2</v>
      </c>
      <c r="AE43" s="155" t="str">
        <f t="shared" si="2"/>
        <v>OK</v>
      </c>
      <c r="AF43" s="280" t="s">
        <v>354</v>
      </c>
      <c r="AG43" s="283">
        <v>63414484.989999987</v>
      </c>
      <c r="AH43" s="283">
        <v>3313410.3800000022</v>
      </c>
      <c r="AI43" s="217">
        <v>5.2250055811736126E-2</v>
      </c>
      <c r="AJ43" s="283">
        <v>1053007.7499999998</v>
      </c>
      <c r="AK43" s="217">
        <v>1.6605161268218951E-2</v>
      </c>
    </row>
    <row r="44" spans="1:37" x14ac:dyDescent="0.35">
      <c r="A44" s="16" t="s">
        <v>409</v>
      </c>
      <c r="B44" s="85">
        <v>1170278019.6299994</v>
      </c>
      <c r="C44" s="85">
        <v>9776118.8000000045</v>
      </c>
      <c r="D44" s="26">
        <v>8.3536720642594549E-3</v>
      </c>
      <c r="E44" s="85">
        <v>2828568.3199999984</v>
      </c>
      <c r="F44" s="26">
        <v>2.7219040172734104E-3</v>
      </c>
      <c r="G44" s="26"/>
      <c r="H44" s="85">
        <v>1215427846.4300005</v>
      </c>
      <c r="I44" s="85">
        <v>10078936.990000008</v>
      </c>
      <c r="J44" s="26">
        <v>8.2925012945887604E-3</v>
      </c>
      <c r="K44" s="85">
        <v>2527895.6799999969</v>
      </c>
      <c r="L44" s="26">
        <v>2.0798401874903764E-3</v>
      </c>
      <c r="M44" s="26"/>
      <c r="N44" s="85">
        <v>1291654351.3300014</v>
      </c>
      <c r="O44" s="85">
        <v>11979959.890000002</v>
      </c>
      <c r="P44" s="26">
        <v>9.2748960878460858E-3</v>
      </c>
      <c r="Q44" s="85">
        <v>3588848.0599999991</v>
      </c>
      <c r="R44" s="26">
        <v>2.7784895055744628E-3</v>
      </c>
      <c r="S44" s="26"/>
      <c r="T44" s="85">
        <v>1387625753.710001</v>
      </c>
      <c r="U44" s="85">
        <v>9045609.0300000124</v>
      </c>
      <c r="V44" s="26">
        <v>6.5187670420611471E-3</v>
      </c>
      <c r="W44" s="85">
        <v>2118539.5300000007</v>
      </c>
      <c r="X44" s="26">
        <v>1.5267369637208051E-3</v>
      </c>
      <c r="Y44" s="26"/>
      <c r="Z44" s="89">
        <v>1392933397.5900009</v>
      </c>
      <c r="AA44" s="89">
        <v>11278410.480000015</v>
      </c>
      <c r="AB44" s="82">
        <f t="shared" si="0"/>
        <v>8.0968770649863676E-3</v>
      </c>
      <c r="AC44" s="89">
        <v>3080791.1199999987</v>
      </c>
      <c r="AD44" s="82">
        <f t="shared" si="1"/>
        <v>2.2117289493742225E-3</v>
      </c>
      <c r="AE44" s="155" t="str">
        <f t="shared" si="2"/>
        <v>OK</v>
      </c>
      <c r="AF44" s="280" t="s">
        <v>409</v>
      </c>
      <c r="AG44" s="283">
        <v>1392933397.5900009</v>
      </c>
      <c r="AH44" s="283">
        <v>11278410.480000015</v>
      </c>
      <c r="AI44" s="217">
        <v>8.0968770649863676E-3</v>
      </c>
      <c r="AJ44" s="283">
        <v>3080791.1199999987</v>
      </c>
      <c r="AK44" s="217">
        <v>2.2117289493742225E-3</v>
      </c>
    </row>
    <row r="45" spans="1:37" x14ac:dyDescent="0.35">
      <c r="A45" s="16" t="s">
        <v>28</v>
      </c>
      <c r="B45" s="85">
        <v>4099934.49</v>
      </c>
      <c r="C45" s="85">
        <v>14433.33</v>
      </c>
      <c r="D45" s="26">
        <v>3.5203806390574788E-3</v>
      </c>
      <c r="E45" s="85">
        <v>0</v>
      </c>
      <c r="F45" s="26">
        <v>0</v>
      </c>
      <c r="G45" s="26"/>
      <c r="H45" s="85">
        <v>5839695.25</v>
      </c>
      <c r="I45" s="85">
        <v>0</v>
      </c>
      <c r="J45" s="26">
        <v>0</v>
      </c>
      <c r="K45" s="85">
        <v>0</v>
      </c>
      <c r="L45" s="26">
        <v>0</v>
      </c>
      <c r="M45" s="26"/>
      <c r="N45" s="85">
        <v>4507023.97</v>
      </c>
      <c r="O45" s="85">
        <v>15000</v>
      </c>
      <c r="P45" s="26">
        <v>3.3281385011138514E-3</v>
      </c>
      <c r="Q45" s="85"/>
      <c r="R45" s="26">
        <v>0</v>
      </c>
      <c r="S45" s="26"/>
      <c r="T45" s="85">
        <v>4837789.8099999996</v>
      </c>
      <c r="U45" s="85">
        <v>9408.5</v>
      </c>
      <c r="V45" s="26">
        <v>1.94479305003125E-3</v>
      </c>
      <c r="W45" s="85"/>
      <c r="X45" s="26">
        <v>0</v>
      </c>
      <c r="Y45" s="26"/>
      <c r="Z45" s="89">
        <v>4644355.24</v>
      </c>
      <c r="AA45" s="89"/>
      <c r="AB45" s="82">
        <f t="shared" si="0"/>
        <v>0</v>
      </c>
      <c r="AC45" s="89"/>
      <c r="AD45" s="82">
        <f t="shared" si="1"/>
        <v>0</v>
      </c>
      <c r="AE45" s="155" t="str">
        <f t="shared" si="2"/>
        <v>OK</v>
      </c>
      <c r="AF45" s="280" t="s">
        <v>28</v>
      </c>
      <c r="AG45" s="283">
        <v>4644355.24</v>
      </c>
      <c r="AH45" s="283"/>
      <c r="AI45" s="217">
        <v>0</v>
      </c>
      <c r="AJ45" s="283"/>
      <c r="AK45" s="217">
        <v>0</v>
      </c>
    </row>
    <row r="46" spans="1:37" x14ac:dyDescent="0.35">
      <c r="A46" s="16" t="s">
        <v>29</v>
      </c>
      <c r="B46" s="85">
        <v>658295.02</v>
      </c>
      <c r="C46" s="85">
        <v>0</v>
      </c>
      <c r="D46" s="26">
        <v>0</v>
      </c>
      <c r="E46" s="85">
        <v>0</v>
      </c>
      <c r="F46" s="26">
        <v>0</v>
      </c>
      <c r="G46" s="26"/>
      <c r="H46" s="85">
        <v>691330.19</v>
      </c>
      <c r="I46" s="85">
        <v>0</v>
      </c>
      <c r="J46" s="26">
        <v>0</v>
      </c>
      <c r="K46" s="85">
        <v>0</v>
      </c>
      <c r="L46" s="26">
        <v>0</v>
      </c>
      <c r="M46" s="26"/>
      <c r="N46" s="85">
        <v>725475.2</v>
      </c>
      <c r="O46" s="85">
        <v>8964.89</v>
      </c>
      <c r="P46" s="26">
        <v>1.2357265968567913E-2</v>
      </c>
      <c r="Q46" s="85"/>
      <c r="R46" s="26">
        <v>0</v>
      </c>
      <c r="S46" s="26"/>
      <c r="T46" s="85">
        <v>738174.68</v>
      </c>
      <c r="U46" s="85"/>
      <c r="V46" s="26">
        <v>0</v>
      </c>
      <c r="W46" s="85"/>
      <c r="X46" s="26">
        <v>0</v>
      </c>
      <c r="Y46" s="26"/>
      <c r="Z46" s="89">
        <v>733827.06</v>
      </c>
      <c r="AA46" s="89"/>
      <c r="AB46" s="82">
        <f t="shared" si="0"/>
        <v>0</v>
      </c>
      <c r="AC46" s="89"/>
      <c r="AD46" s="82">
        <f t="shared" si="1"/>
        <v>0</v>
      </c>
      <c r="AE46" s="155" t="str">
        <f t="shared" si="2"/>
        <v>OK</v>
      </c>
      <c r="AF46" s="280" t="s">
        <v>29</v>
      </c>
      <c r="AG46" s="283">
        <v>733827.06</v>
      </c>
      <c r="AH46" s="283"/>
      <c r="AI46" s="217">
        <v>0</v>
      </c>
      <c r="AJ46" s="283"/>
      <c r="AK46" s="217">
        <v>0</v>
      </c>
    </row>
    <row r="47" spans="1:37" x14ac:dyDescent="0.35">
      <c r="A47" s="16" t="s">
        <v>359</v>
      </c>
      <c r="B47" s="85">
        <v>9931150.4199999999</v>
      </c>
      <c r="C47" s="85">
        <v>169987.26</v>
      </c>
      <c r="D47" s="26">
        <v>1.7116572885420057E-2</v>
      </c>
      <c r="E47" s="85">
        <v>61207.909999999996</v>
      </c>
      <c r="F47" s="26">
        <v>6.7565423901592399E-3</v>
      </c>
      <c r="G47" s="26"/>
      <c r="H47" s="85">
        <v>10689424.470000003</v>
      </c>
      <c r="I47" s="85">
        <v>35547.979999999996</v>
      </c>
      <c r="J47" s="26">
        <v>3.3255279645565414E-3</v>
      </c>
      <c r="K47" s="85">
        <v>0</v>
      </c>
      <c r="L47" s="26">
        <v>0</v>
      </c>
      <c r="M47" s="26"/>
      <c r="N47" s="85">
        <v>11707847.209999999</v>
      </c>
      <c r="O47" s="85">
        <v>154544.03999999995</v>
      </c>
      <c r="P47" s="26">
        <v>1.320003901895812E-2</v>
      </c>
      <c r="Q47" s="85"/>
      <c r="R47" s="26">
        <v>0</v>
      </c>
      <c r="S47" s="26"/>
      <c r="T47" s="85">
        <v>12311482.620000001</v>
      </c>
      <c r="U47" s="85">
        <v>250487.80999999997</v>
      </c>
      <c r="V47" s="26">
        <v>2.0345868790252977E-2</v>
      </c>
      <c r="W47" s="85">
        <v>18917.87</v>
      </c>
      <c r="X47" s="26">
        <v>1.5366037206004681E-3</v>
      </c>
      <c r="Y47" s="26"/>
      <c r="Z47" s="89">
        <v>11775310.26</v>
      </c>
      <c r="AA47" s="89">
        <v>218606.79000000004</v>
      </c>
      <c r="AB47" s="82">
        <f t="shared" si="0"/>
        <v>1.8564843318192113E-2</v>
      </c>
      <c r="AC47" s="89">
        <v>63096.170000000006</v>
      </c>
      <c r="AD47" s="82">
        <f t="shared" si="1"/>
        <v>5.3583445876864743E-3</v>
      </c>
      <c r="AE47" s="155" t="str">
        <f t="shared" si="2"/>
        <v>OK</v>
      </c>
      <c r="AF47" s="280" t="s">
        <v>359</v>
      </c>
      <c r="AG47" s="283">
        <v>11775310.26</v>
      </c>
      <c r="AH47" s="283">
        <v>218606.79000000004</v>
      </c>
      <c r="AI47" s="217">
        <v>1.8564843318192113E-2</v>
      </c>
      <c r="AJ47" s="283">
        <v>63096.170000000006</v>
      </c>
      <c r="AK47" s="217">
        <v>5.3583445876864743E-3</v>
      </c>
    </row>
    <row r="48" spans="1:37" x14ac:dyDescent="0.35">
      <c r="A48" s="16" t="s">
        <v>30</v>
      </c>
      <c r="B48" s="85">
        <v>15870382.540000001</v>
      </c>
      <c r="C48" s="85">
        <v>25050.67</v>
      </c>
      <c r="D48" s="26">
        <v>1.578454075499556E-3</v>
      </c>
      <c r="E48" s="85">
        <v>0</v>
      </c>
      <c r="F48" s="26">
        <v>0</v>
      </c>
      <c r="G48" s="26"/>
      <c r="H48" s="85">
        <v>16497895.48</v>
      </c>
      <c r="I48" s="85">
        <v>121559.02999999998</v>
      </c>
      <c r="J48" s="26">
        <v>7.3681537228407739E-3</v>
      </c>
      <c r="K48" s="85">
        <v>0</v>
      </c>
      <c r="L48" s="26">
        <v>0</v>
      </c>
      <c r="M48" s="26"/>
      <c r="N48" s="85">
        <v>17008038.670000002</v>
      </c>
      <c r="O48" s="85">
        <v>242193.22999999998</v>
      </c>
      <c r="P48" s="26">
        <v>1.4239927054446188E-2</v>
      </c>
      <c r="Q48" s="85">
        <v>22663.420000000002</v>
      </c>
      <c r="R48" s="26">
        <v>1.3325122572760471E-3</v>
      </c>
      <c r="S48" s="26"/>
      <c r="T48" s="85">
        <v>17055753.310000002</v>
      </c>
      <c r="U48" s="85">
        <v>31438.48</v>
      </c>
      <c r="V48" s="26">
        <v>1.843277129340703E-3</v>
      </c>
      <c r="W48" s="85"/>
      <c r="X48" s="26">
        <v>0</v>
      </c>
      <c r="Y48" s="26"/>
      <c r="Z48" s="89">
        <v>17224081.959999997</v>
      </c>
      <c r="AA48" s="89">
        <v>46903.1</v>
      </c>
      <c r="AB48" s="82">
        <f t="shared" si="0"/>
        <v>2.7231117518439867E-3</v>
      </c>
      <c r="AC48" s="89"/>
      <c r="AD48" s="82">
        <f t="shared" si="1"/>
        <v>0</v>
      </c>
      <c r="AE48" s="155" t="str">
        <f t="shared" si="2"/>
        <v>OK</v>
      </c>
      <c r="AF48" s="280" t="s">
        <v>30</v>
      </c>
      <c r="AG48" s="283">
        <v>17224081.959999997</v>
      </c>
      <c r="AH48" s="283">
        <v>46903.1</v>
      </c>
      <c r="AI48" s="217">
        <v>2.7231117518439867E-3</v>
      </c>
      <c r="AJ48" s="283"/>
      <c r="AK48" s="217">
        <v>0</v>
      </c>
    </row>
    <row r="49" spans="1:37" x14ac:dyDescent="0.35">
      <c r="A49" s="16" t="s">
        <v>31</v>
      </c>
      <c r="B49" s="85">
        <v>1526995.56</v>
      </c>
      <c r="C49" s="85">
        <v>0</v>
      </c>
      <c r="D49" s="26">
        <v>0</v>
      </c>
      <c r="E49" s="85">
        <v>0</v>
      </c>
      <c r="F49" s="26">
        <v>0</v>
      </c>
      <c r="G49" s="26"/>
      <c r="H49" s="85">
        <v>1536595.76</v>
      </c>
      <c r="I49" s="85">
        <v>4461.54</v>
      </c>
      <c r="J49" s="26">
        <v>2.9035222640468564E-3</v>
      </c>
      <c r="K49" s="85">
        <v>0</v>
      </c>
      <c r="L49" s="26">
        <v>0</v>
      </c>
      <c r="M49" s="26"/>
      <c r="N49" s="85">
        <v>1610404.72</v>
      </c>
      <c r="O49" s="85"/>
      <c r="P49" s="26">
        <v>0</v>
      </c>
      <c r="Q49" s="85"/>
      <c r="R49" s="26">
        <v>0</v>
      </c>
      <c r="S49" s="26"/>
      <c r="T49" s="85">
        <v>1637890.04</v>
      </c>
      <c r="U49" s="85"/>
      <c r="V49" s="26">
        <v>0</v>
      </c>
      <c r="W49" s="85"/>
      <c r="X49" s="26">
        <v>0</v>
      </c>
      <c r="Y49" s="26"/>
      <c r="Z49" s="89">
        <v>3217624.28</v>
      </c>
      <c r="AA49" s="89">
        <v>194822.13000000009</v>
      </c>
      <c r="AB49" s="82">
        <f t="shared" si="0"/>
        <v>6.0548439794841459E-2</v>
      </c>
      <c r="AC49" s="89"/>
      <c r="AD49" s="82">
        <f t="shared" si="1"/>
        <v>0</v>
      </c>
      <c r="AE49" s="155" t="str">
        <f t="shared" si="2"/>
        <v>OK</v>
      </c>
      <c r="AF49" s="280" t="s">
        <v>31</v>
      </c>
      <c r="AG49" s="283">
        <v>3217624.28</v>
      </c>
      <c r="AH49" s="283">
        <v>194822.13000000009</v>
      </c>
      <c r="AI49" s="217">
        <v>6.0548439794841459E-2</v>
      </c>
      <c r="AJ49" s="283"/>
      <c r="AK49" s="217">
        <v>0</v>
      </c>
    </row>
    <row r="50" spans="1:37" x14ac:dyDescent="0.35">
      <c r="A50" s="16" t="s">
        <v>32</v>
      </c>
      <c r="B50" s="85">
        <v>69580624.709999993</v>
      </c>
      <c r="C50" s="85">
        <v>2453341.2600000002</v>
      </c>
      <c r="D50" s="26">
        <v>3.5258971448231487E-2</v>
      </c>
      <c r="E50" s="85">
        <v>436403.83000000007</v>
      </c>
      <c r="F50" s="26">
        <v>7.1722189005613444E-3</v>
      </c>
      <c r="G50" s="26"/>
      <c r="H50" s="85">
        <v>66533874.679999985</v>
      </c>
      <c r="I50" s="85">
        <v>1539294.1700000004</v>
      </c>
      <c r="J50" s="26">
        <v>2.3135495676501021E-2</v>
      </c>
      <c r="K50" s="85">
        <v>247617.46000000002</v>
      </c>
      <c r="L50" s="26">
        <v>3.7216750293130544E-3</v>
      </c>
      <c r="M50" s="26"/>
      <c r="N50" s="85">
        <v>57739974.999999993</v>
      </c>
      <c r="O50" s="85">
        <v>1205157.4599999986</v>
      </c>
      <c r="P50" s="26">
        <v>2.0872150706681095E-2</v>
      </c>
      <c r="Q50" s="85">
        <v>443403.05999999994</v>
      </c>
      <c r="R50" s="26">
        <v>7.6793081396380929E-3</v>
      </c>
      <c r="S50" s="26"/>
      <c r="T50" s="85">
        <v>58434321.399999999</v>
      </c>
      <c r="U50" s="85">
        <v>1209943.6300000001</v>
      </c>
      <c r="V50" s="26">
        <v>2.0706043999682695E-2</v>
      </c>
      <c r="W50" s="85">
        <v>354668.11999999994</v>
      </c>
      <c r="X50" s="26">
        <v>6.0695172204053346E-3</v>
      </c>
      <c r="Y50" s="26"/>
      <c r="Z50" s="89">
        <v>57622647.649999999</v>
      </c>
      <c r="AA50" s="89">
        <v>163827.33000000002</v>
      </c>
      <c r="AB50" s="82">
        <f t="shared" si="0"/>
        <v>2.8431066027213348E-3</v>
      </c>
      <c r="AC50" s="89">
        <v>53848.85</v>
      </c>
      <c r="AD50" s="82">
        <f t="shared" si="1"/>
        <v>9.3450843021094675E-4</v>
      </c>
      <c r="AE50" s="155" t="str">
        <f t="shared" si="2"/>
        <v>OK</v>
      </c>
      <c r="AF50" s="280" t="s">
        <v>32</v>
      </c>
      <c r="AG50" s="283">
        <v>57622647.649999999</v>
      </c>
      <c r="AH50" s="283">
        <v>163827.33000000002</v>
      </c>
      <c r="AI50" s="217">
        <v>2.8431066027213348E-3</v>
      </c>
      <c r="AJ50" s="283">
        <v>53848.85</v>
      </c>
      <c r="AK50" s="217">
        <v>9.3450843021094675E-4</v>
      </c>
    </row>
    <row r="51" spans="1:37" x14ac:dyDescent="0.35">
      <c r="A51" s="16" t="s">
        <v>33</v>
      </c>
      <c r="B51" s="85">
        <v>71782569.750000045</v>
      </c>
      <c r="C51" s="85">
        <v>669566.15000000014</v>
      </c>
      <c r="D51" s="26">
        <v>9.3276982466903077E-3</v>
      </c>
      <c r="E51" s="85">
        <v>82073.789999999994</v>
      </c>
      <c r="F51" s="26">
        <v>1.2597842176963424E-3</v>
      </c>
      <c r="G51" s="26"/>
      <c r="H51" s="85">
        <v>76130350.800000012</v>
      </c>
      <c r="I51" s="85">
        <v>794533.62</v>
      </c>
      <c r="J51" s="26">
        <v>1.0436489673971131E-2</v>
      </c>
      <c r="K51" s="85">
        <v>207642.96</v>
      </c>
      <c r="L51" s="26">
        <v>2.7274662183744982E-3</v>
      </c>
      <c r="M51" s="26"/>
      <c r="N51" s="85">
        <v>79474313.180000007</v>
      </c>
      <c r="O51" s="85">
        <v>675097.70000000007</v>
      </c>
      <c r="P51" s="26">
        <v>8.4945395938305617E-3</v>
      </c>
      <c r="Q51" s="85">
        <v>167258.51999999999</v>
      </c>
      <c r="R51" s="26">
        <v>2.1045607480894997E-3</v>
      </c>
      <c r="S51" s="26"/>
      <c r="T51" s="85">
        <v>81494837.350000024</v>
      </c>
      <c r="U51" s="85">
        <v>737611.24000000057</v>
      </c>
      <c r="V51" s="26">
        <v>9.051018002921388E-3</v>
      </c>
      <c r="W51" s="85">
        <v>96481.699999999968</v>
      </c>
      <c r="X51" s="26">
        <v>1.1838995344654179E-3</v>
      </c>
      <c r="Y51" s="26"/>
      <c r="Z51" s="89">
        <v>73610192.359999999</v>
      </c>
      <c r="AA51" s="89">
        <v>490410.5400000001</v>
      </c>
      <c r="AB51" s="82">
        <f t="shared" si="0"/>
        <v>6.6622640734531032E-3</v>
      </c>
      <c r="AC51" s="89">
        <v>168251.63</v>
      </c>
      <c r="AD51" s="82">
        <f t="shared" si="1"/>
        <v>2.2857110490507081E-3</v>
      </c>
      <c r="AE51" s="155" t="str">
        <f t="shared" si="2"/>
        <v>OK</v>
      </c>
      <c r="AF51" s="280" t="s">
        <v>33</v>
      </c>
      <c r="AG51" s="283">
        <v>73610192.359999999</v>
      </c>
      <c r="AH51" s="283">
        <v>490410.5400000001</v>
      </c>
      <c r="AI51" s="217">
        <v>6.6622640734531032E-3</v>
      </c>
      <c r="AJ51" s="283">
        <v>168251.63</v>
      </c>
      <c r="AK51" s="217">
        <v>2.2857110490507081E-3</v>
      </c>
    </row>
    <row r="52" spans="1:37" x14ac:dyDescent="0.35">
      <c r="A52" s="16"/>
      <c r="B52" s="16"/>
      <c r="C52" s="16"/>
      <c r="D52" s="33"/>
      <c r="E52" s="16"/>
      <c r="F52" s="33"/>
      <c r="G52" s="33"/>
      <c r="H52" s="16"/>
      <c r="I52" s="16"/>
      <c r="J52" s="33"/>
      <c r="K52" s="16"/>
      <c r="L52" s="33"/>
      <c r="M52" s="33"/>
      <c r="N52" s="16"/>
      <c r="O52" s="16"/>
      <c r="P52" s="33"/>
      <c r="Q52" s="16"/>
      <c r="R52" s="33"/>
      <c r="S52" s="33"/>
      <c r="T52" s="16"/>
      <c r="U52" s="16"/>
      <c r="V52" s="33"/>
      <c r="W52" s="16"/>
      <c r="X52" s="33"/>
      <c r="Y52" s="33"/>
      <c r="Z52" s="90"/>
      <c r="AA52" s="90"/>
      <c r="AB52" s="82"/>
      <c r="AC52" s="90"/>
      <c r="AD52" s="82"/>
      <c r="AG52"/>
      <c r="AH52"/>
      <c r="AJ52"/>
    </row>
    <row r="53" spans="1:37" ht="15" thickBot="1" x14ac:dyDescent="0.4">
      <c r="A53" s="25" t="s">
        <v>113</v>
      </c>
      <c r="B53" s="35">
        <v>3739857008.1500006</v>
      </c>
      <c r="C53" s="35">
        <v>170059994.21000001</v>
      </c>
      <c r="D53" s="27">
        <v>4.5472325235804613E-2</v>
      </c>
      <c r="E53" s="35">
        <v>44826590.520000011</v>
      </c>
      <c r="F53" s="27">
        <v>1.3269802641479405E-2</v>
      </c>
      <c r="G53" s="296"/>
      <c r="H53" s="35">
        <v>3981385209.5100002</v>
      </c>
      <c r="I53" s="35">
        <v>171502791.63999993</v>
      </c>
      <c r="J53" s="27">
        <v>4.3076161339612562E-2</v>
      </c>
      <c r="K53" s="35">
        <v>38884181.689999998</v>
      </c>
      <c r="L53" s="27">
        <v>9.7664957405077558E-3</v>
      </c>
      <c r="M53" s="296"/>
      <c r="N53" s="35">
        <v>4192488856.8700023</v>
      </c>
      <c r="O53" s="35">
        <v>189170412.30999985</v>
      </c>
      <c r="P53" s="27">
        <v>4.5121267764377394E-2</v>
      </c>
      <c r="Q53" s="35">
        <v>49496719.030000016</v>
      </c>
      <c r="R53" s="27">
        <v>1.1806046651475877E-2</v>
      </c>
      <c r="S53" s="296"/>
      <c r="T53" s="35">
        <v>4386086794.8400002</v>
      </c>
      <c r="U53" s="35">
        <v>188734543.2800017</v>
      </c>
      <c r="V53" s="27">
        <v>4.3030280089768842E-2</v>
      </c>
      <c r="W53" s="35">
        <v>42224650.040000081</v>
      </c>
      <c r="X53" s="27">
        <v>9.6269526835800773E-3</v>
      </c>
      <c r="Y53" s="296"/>
      <c r="Z53" s="310">
        <f>SUM(Z6:Z52)</f>
        <v>4362760130.8300018</v>
      </c>
      <c r="AA53" s="310">
        <f>SUM(AA6:AA52)</f>
        <v>215302403.49999923</v>
      </c>
      <c r="AB53" s="83">
        <f>AA53/Z53</f>
        <v>4.9350043789604038E-2</v>
      </c>
      <c r="AC53" s="310">
        <f>SUM(AC6:AC52)</f>
        <v>74102800.02000007</v>
      </c>
      <c r="AD53" s="83">
        <f>AC53/Z53</f>
        <v>1.6985302376892823E-2</v>
      </c>
      <c r="AF53" t="s">
        <v>40</v>
      </c>
      <c r="AG53" s="307">
        <v>4362760130.8300018</v>
      </c>
      <c r="AH53" s="307">
        <v>215302403.49999923</v>
      </c>
      <c r="AI53" s="217">
        <v>4.9350043789604038E-2</v>
      </c>
      <c r="AJ53" s="307">
        <v>74102800.02000007</v>
      </c>
      <c r="AK53" s="217">
        <v>1.6985302376892823E-2</v>
      </c>
    </row>
    <row r="54" spans="1:37" ht="15" thickTop="1" x14ac:dyDescent="0.35"/>
  </sheetData>
  <sortState ref="A6:AD51">
    <sortCondition ref="A6"/>
  </sortState>
  <mergeCells count="10">
    <mergeCell ref="AA3:AB3"/>
    <mergeCell ref="AC3:AD3"/>
    <mergeCell ref="C3:D3"/>
    <mergeCell ref="E3:F3"/>
    <mergeCell ref="I3:J3"/>
    <mergeCell ref="K3:L3"/>
    <mergeCell ref="O3:P3"/>
    <mergeCell ref="Q3:R3"/>
    <mergeCell ref="U3:V3"/>
    <mergeCell ref="W3:X3"/>
  </mergeCells>
  <pageMargins left="0.7" right="0.7" top="0.75" bottom="0.75" header="0.3" footer="0.3"/>
  <pageSetup orientation="portrait"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AI54"/>
  <sheetViews>
    <sheetView workbookViewId="0">
      <pane xSplit="1" ySplit="5" topLeftCell="AB45" activePane="bottomRight" state="frozen"/>
      <selection activeCell="D5" sqref="D5:E5"/>
      <selection pane="topRight" activeCell="D5" sqref="D5:E5"/>
      <selection pane="bottomLeft" activeCell="D5" sqref="D5:E5"/>
      <selection pane="bottomRight" activeCell="D5" sqref="D5:E5"/>
    </sheetView>
  </sheetViews>
  <sheetFormatPr defaultRowHeight="14.5" x14ac:dyDescent="0.35"/>
  <cols>
    <col min="1" max="1" width="49.26953125" bestFit="1" customWidth="1"/>
    <col min="2" max="3" width="12.54296875" bestFit="1" customWidth="1"/>
    <col min="4" max="4" width="11.453125" customWidth="1"/>
    <col min="5" max="5" width="12.54296875" bestFit="1" customWidth="1"/>
    <col min="6" max="6" width="7.7265625" bestFit="1" customWidth="1"/>
    <col min="7" max="7" width="1.7265625" style="4" customWidth="1"/>
    <col min="8" max="9" width="12.54296875" bestFit="1" customWidth="1"/>
    <col min="10" max="10" width="11.453125" customWidth="1"/>
    <col min="11" max="11" width="12.54296875" bestFit="1" customWidth="1"/>
    <col min="12" max="12" width="7.7265625" bestFit="1" customWidth="1"/>
    <col min="13" max="13" width="1.7265625" style="4" customWidth="1"/>
    <col min="14" max="15" width="12.54296875" bestFit="1" customWidth="1"/>
    <col min="16" max="16" width="11.453125" customWidth="1"/>
    <col min="17" max="17" width="12.54296875" bestFit="1" customWidth="1"/>
    <col min="18" max="18" width="7.7265625" bestFit="1" customWidth="1"/>
    <col min="19" max="19" width="1.7265625" style="4" customWidth="1"/>
    <col min="20" max="21" width="12.54296875" bestFit="1" customWidth="1"/>
    <col min="22" max="22" width="11.453125" customWidth="1"/>
    <col min="23" max="23" width="12.54296875" bestFit="1" customWidth="1"/>
    <col min="24" max="24" width="7.7265625" bestFit="1" customWidth="1"/>
    <col min="25" max="25" width="1.7265625" style="4" customWidth="1"/>
    <col min="26" max="27" width="12.54296875" customWidth="1"/>
    <col min="28" max="28" width="11.453125" customWidth="1"/>
    <col min="29" max="29" width="12.54296875" customWidth="1"/>
    <col min="30" max="30" width="11.453125" customWidth="1"/>
    <col min="32" max="32" width="48.7265625" bestFit="1" customWidth="1"/>
    <col min="33" max="35" width="15.26953125" style="218" bestFit="1" customWidth="1"/>
  </cols>
  <sheetData>
    <row r="1" spans="1:35" x14ac:dyDescent="0.35">
      <c r="A1" s="29">
        <v>1</v>
      </c>
      <c r="B1" s="29">
        <v>2</v>
      </c>
      <c r="C1" s="29">
        <v>3</v>
      </c>
      <c r="D1" s="29">
        <v>4</v>
      </c>
      <c r="E1" s="29">
        <v>5</v>
      </c>
      <c r="F1" s="29">
        <v>6</v>
      </c>
      <c r="G1" s="29">
        <v>7</v>
      </c>
      <c r="H1" s="29">
        <v>8</v>
      </c>
      <c r="I1" s="29">
        <v>9</v>
      </c>
      <c r="J1" s="29">
        <v>10</v>
      </c>
      <c r="K1" s="29">
        <v>11</v>
      </c>
      <c r="L1" s="29">
        <v>12</v>
      </c>
      <c r="M1" s="29">
        <v>13</v>
      </c>
      <c r="N1" s="29">
        <v>14</v>
      </c>
      <c r="O1" s="29">
        <v>15</v>
      </c>
      <c r="P1" s="29">
        <v>16</v>
      </c>
      <c r="Q1" s="29">
        <v>17</v>
      </c>
      <c r="R1" s="29">
        <v>18</v>
      </c>
      <c r="S1" s="29">
        <v>19</v>
      </c>
      <c r="T1" s="29">
        <v>20</v>
      </c>
      <c r="U1" s="29">
        <v>21</v>
      </c>
      <c r="V1" s="29">
        <v>22</v>
      </c>
      <c r="W1" s="29">
        <v>23</v>
      </c>
      <c r="X1" s="29">
        <v>24</v>
      </c>
      <c r="Y1" s="29">
        <v>25</v>
      </c>
      <c r="Z1" s="29">
        <v>26</v>
      </c>
      <c r="AA1" s="29">
        <v>27</v>
      </c>
      <c r="AB1" s="29">
        <v>28</v>
      </c>
      <c r="AC1" s="29">
        <v>29</v>
      </c>
      <c r="AD1" s="29">
        <v>30</v>
      </c>
    </row>
    <row r="2" spans="1:35" x14ac:dyDescent="0.35">
      <c r="B2" s="68"/>
      <c r="C2" s="68"/>
      <c r="D2" s="68"/>
      <c r="E2" s="68"/>
      <c r="F2" s="68"/>
      <c r="G2" s="37"/>
      <c r="H2" s="68"/>
      <c r="I2" s="68"/>
      <c r="J2" s="68"/>
      <c r="K2" s="68"/>
      <c r="L2" s="68"/>
      <c r="M2" s="37"/>
      <c r="N2" s="68"/>
      <c r="O2" s="68"/>
      <c r="P2" s="68"/>
      <c r="Q2" s="68"/>
      <c r="R2" s="68"/>
      <c r="S2" s="37"/>
      <c r="T2" s="68"/>
      <c r="U2" s="68"/>
      <c r="V2" s="68"/>
      <c r="W2" s="68"/>
      <c r="X2" s="68"/>
      <c r="Y2" s="37"/>
      <c r="Z2" s="68"/>
      <c r="AA2" s="68"/>
      <c r="AB2" s="68"/>
      <c r="AC2" s="68"/>
      <c r="AD2" s="68"/>
    </row>
    <row r="3" spans="1:35" ht="27" customHeight="1" x14ac:dyDescent="0.35">
      <c r="B3" s="68" t="s">
        <v>121</v>
      </c>
      <c r="C3" s="422" t="s">
        <v>396</v>
      </c>
      <c r="D3" s="422"/>
      <c r="E3" s="420" t="s">
        <v>125</v>
      </c>
      <c r="F3" s="420"/>
      <c r="G3" s="37"/>
      <c r="H3" s="68" t="s">
        <v>121</v>
      </c>
      <c r="I3" s="422" t="s">
        <v>396</v>
      </c>
      <c r="J3" s="422"/>
      <c r="K3" s="420" t="s">
        <v>125</v>
      </c>
      <c r="L3" s="420"/>
      <c r="M3" s="37"/>
      <c r="N3" s="68" t="s">
        <v>121</v>
      </c>
      <c r="O3" s="422" t="s">
        <v>396</v>
      </c>
      <c r="P3" s="422"/>
      <c r="Q3" s="420" t="s">
        <v>125</v>
      </c>
      <c r="R3" s="420"/>
      <c r="S3" s="37"/>
      <c r="T3" s="68" t="s">
        <v>121</v>
      </c>
      <c r="U3" s="422" t="s">
        <v>396</v>
      </c>
      <c r="V3" s="422"/>
      <c r="W3" s="420" t="s">
        <v>389</v>
      </c>
      <c r="X3" s="420"/>
      <c r="Y3" s="37"/>
      <c r="Z3" s="68" t="s">
        <v>121</v>
      </c>
      <c r="AA3" s="422" t="s">
        <v>396</v>
      </c>
      <c r="AB3" s="422"/>
      <c r="AC3" s="420" t="s">
        <v>389</v>
      </c>
      <c r="AD3" s="420"/>
    </row>
    <row r="4" spans="1:35" ht="26.25" customHeight="1" x14ac:dyDescent="0.35">
      <c r="B4" s="15">
        <v>2017</v>
      </c>
      <c r="C4" s="15">
        <v>2017</v>
      </c>
      <c r="D4" s="15">
        <v>2017</v>
      </c>
      <c r="E4" s="15">
        <v>2017</v>
      </c>
      <c r="F4" s="15">
        <v>2017</v>
      </c>
      <c r="G4" s="37"/>
      <c r="H4" s="15">
        <v>2018</v>
      </c>
      <c r="I4" s="15">
        <v>2018</v>
      </c>
      <c r="J4" s="15">
        <v>2018</v>
      </c>
      <c r="K4" s="15">
        <v>2018</v>
      </c>
      <c r="L4" s="15">
        <v>2018</v>
      </c>
      <c r="M4" s="37"/>
      <c r="N4" s="15">
        <v>2019</v>
      </c>
      <c r="O4" s="15">
        <v>2019</v>
      </c>
      <c r="P4" s="15">
        <v>2019</v>
      </c>
      <c r="Q4" s="15">
        <v>2019</v>
      </c>
      <c r="R4" s="15">
        <v>2019</v>
      </c>
      <c r="S4" s="37"/>
      <c r="T4" s="15">
        <v>2020</v>
      </c>
      <c r="U4" s="15">
        <v>2020</v>
      </c>
      <c r="V4" s="15">
        <v>2020</v>
      </c>
      <c r="W4" s="15">
        <v>2020</v>
      </c>
      <c r="X4" s="15">
        <v>2020</v>
      </c>
      <c r="Y4" s="37"/>
      <c r="Z4" s="15">
        <v>2021</v>
      </c>
      <c r="AA4" s="15">
        <v>2021</v>
      </c>
      <c r="AB4" s="15">
        <v>2021</v>
      </c>
      <c r="AC4" s="15">
        <v>2021</v>
      </c>
      <c r="AD4" s="15">
        <v>2021</v>
      </c>
      <c r="AG4" s="421" t="s">
        <v>381</v>
      </c>
      <c r="AH4" s="421" t="s">
        <v>382</v>
      </c>
      <c r="AI4" s="421" t="s">
        <v>402</v>
      </c>
    </row>
    <row r="5" spans="1:35" x14ac:dyDescent="0.35">
      <c r="A5" s="39" t="s">
        <v>36</v>
      </c>
      <c r="B5" s="40" t="s">
        <v>41</v>
      </c>
      <c r="C5" s="40" t="s">
        <v>41</v>
      </c>
      <c r="D5" s="40" t="s">
        <v>43</v>
      </c>
      <c r="E5" s="40" t="s">
        <v>41</v>
      </c>
      <c r="F5" s="40" t="s">
        <v>43</v>
      </c>
      <c r="G5" s="93"/>
      <c r="H5" s="40" t="s">
        <v>41</v>
      </c>
      <c r="I5" s="40" t="s">
        <v>41</v>
      </c>
      <c r="J5" s="40" t="s">
        <v>43</v>
      </c>
      <c r="K5" s="40" t="s">
        <v>41</v>
      </c>
      <c r="L5" s="40" t="s">
        <v>43</v>
      </c>
      <c r="M5" s="93"/>
      <c r="N5" s="40" t="s">
        <v>41</v>
      </c>
      <c r="O5" s="40" t="s">
        <v>41</v>
      </c>
      <c r="P5" s="40" t="s">
        <v>43</v>
      </c>
      <c r="Q5" s="40" t="s">
        <v>41</v>
      </c>
      <c r="R5" s="40" t="s">
        <v>43</v>
      </c>
      <c r="S5" s="93"/>
      <c r="T5" s="40" t="s">
        <v>41</v>
      </c>
      <c r="U5" s="40" t="s">
        <v>41</v>
      </c>
      <c r="V5" s="40" t="s">
        <v>43</v>
      </c>
      <c r="W5" s="40" t="s">
        <v>41</v>
      </c>
      <c r="X5" s="40" t="s">
        <v>43</v>
      </c>
      <c r="Y5" s="93"/>
      <c r="Z5" s="40" t="s">
        <v>41</v>
      </c>
      <c r="AA5" s="40" t="s">
        <v>41</v>
      </c>
      <c r="AB5" s="40" t="s">
        <v>43</v>
      </c>
      <c r="AC5" s="40" t="s">
        <v>41</v>
      </c>
      <c r="AD5" s="40" t="s">
        <v>43</v>
      </c>
      <c r="AF5" s="15" t="s">
        <v>346</v>
      </c>
      <c r="AG5" s="421"/>
      <c r="AH5" s="421"/>
      <c r="AI5" s="421"/>
    </row>
    <row r="6" spans="1:35" x14ac:dyDescent="0.35">
      <c r="A6" s="16" t="s">
        <v>345</v>
      </c>
      <c r="B6" s="34">
        <v>608652.68999999994</v>
      </c>
      <c r="C6" s="34">
        <v>93048.05</v>
      </c>
      <c r="D6" s="26">
        <v>0.1528754436294367</v>
      </c>
      <c r="E6" s="34">
        <v>33079.880000000005</v>
      </c>
      <c r="F6" s="26">
        <v>5.4349353159024089E-2</v>
      </c>
      <c r="G6" s="36"/>
      <c r="H6" s="34">
        <v>669700.35000000021</v>
      </c>
      <c r="I6" s="34">
        <v>46277</v>
      </c>
      <c r="J6" s="26">
        <v>6.9101053926580724E-2</v>
      </c>
      <c r="K6" s="34">
        <v>2021.77</v>
      </c>
      <c r="L6" s="26">
        <v>3.0189173411660892E-3</v>
      </c>
      <c r="M6" s="36"/>
      <c r="N6" s="34">
        <v>667485.87999999966</v>
      </c>
      <c r="O6" s="34">
        <v>87621.869999999981</v>
      </c>
      <c r="P6" s="26">
        <v>0.13083742602195139</v>
      </c>
      <c r="Q6" s="34">
        <v>586.70000000000005</v>
      </c>
      <c r="R6" s="26">
        <v>8.7606345136298622E-4</v>
      </c>
      <c r="S6" s="36"/>
      <c r="T6" s="34">
        <v>695638.36999999988</v>
      </c>
      <c r="U6" s="34">
        <v>6981.74</v>
      </c>
      <c r="V6" s="26">
        <v>1.0036450404539935E-2</v>
      </c>
      <c r="W6" s="34">
        <v>1702.96</v>
      </c>
      <c r="X6" s="26">
        <v>2.4480535770331361E-3</v>
      </c>
      <c r="Y6" s="36"/>
      <c r="Z6" s="89">
        <v>549294.09000000043</v>
      </c>
      <c r="AA6" s="89">
        <v>193581.15999999997</v>
      </c>
      <c r="AB6" s="82">
        <f>AA6/Z6</f>
        <v>0.35241806442883777</v>
      </c>
      <c r="AC6" s="89">
        <v>43943.539999999986</v>
      </c>
      <c r="AD6" s="82">
        <f t="shared" ref="AD6:AD51" si="0">IFERROR((AC6/Z6),"")</f>
        <v>8.0000023302635476E-2</v>
      </c>
      <c r="AE6" s="155" t="str">
        <f t="shared" ref="AE6:AE51" si="1">IF(AF6=A6,"OK","No")</f>
        <v>OK</v>
      </c>
      <c r="AF6" t="s">
        <v>345</v>
      </c>
      <c r="AG6" s="218">
        <v>549294.09000000043</v>
      </c>
      <c r="AH6" s="218">
        <v>193581.15999999997</v>
      </c>
      <c r="AI6" s="218">
        <v>43943.539999999986</v>
      </c>
    </row>
    <row r="7" spans="1:35" x14ac:dyDescent="0.35">
      <c r="A7" s="16" t="s">
        <v>21</v>
      </c>
      <c r="B7" s="34">
        <v>0</v>
      </c>
      <c r="C7" s="34"/>
      <c r="D7" s="26"/>
      <c r="E7" s="34"/>
      <c r="F7" s="26"/>
      <c r="G7" s="36"/>
      <c r="H7" s="34">
        <v>0</v>
      </c>
      <c r="I7" s="34"/>
      <c r="J7" s="26"/>
      <c r="K7" s="34"/>
      <c r="L7" s="26"/>
      <c r="M7" s="36"/>
      <c r="N7" s="34">
        <v>0</v>
      </c>
      <c r="O7" s="34"/>
      <c r="P7" s="26"/>
      <c r="Q7" s="34"/>
      <c r="R7" s="26"/>
      <c r="S7" s="36"/>
      <c r="T7" s="34">
        <v>0</v>
      </c>
      <c r="U7" s="34">
        <v>0</v>
      </c>
      <c r="V7" s="26"/>
      <c r="W7" s="34">
        <v>0</v>
      </c>
      <c r="X7" s="26" t="s">
        <v>395</v>
      </c>
      <c r="Y7" s="36"/>
      <c r="Z7" s="89">
        <v>0</v>
      </c>
      <c r="AA7" s="89">
        <v>0</v>
      </c>
      <c r="AB7" s="82"/>
      <c r="AC7" s="89">
        <v>0</v>
      </c>
      <c r="AD7" s="82" t="str">
        <f t="shared" si="0"/>
        <v/>
      </c>
      <c r="AE7" s="155" t="str">
        <f t="shared" si="1"/>
        <v>OK</v>
      </c>
      <c r="AF7" t="s">
        <v>21</v>
      </c>
      <c r="AG7" s="218">
        <v>0</v>
      </c>
      <c r="AH7" s="218">
        <v>0</v>
      </c>
      <c r="AI7" s="218">
        <v>0</v>
      </c>
    </row>
    <row r="8" spans="1:35" x14ac:dyDescent="0.35">
      <c r="A8" s="16" t="s">
        <v>357</v>
      </c>
      <c r="B8" s="34">
        <v>0</v>
      </c>
      <c r="C8" s="34"/>
      <c r="D8" s="26"/>
      <c r="E8" s="34"/>
      <c r="F8" s="26"/>
      <c r="G8" s="36"/>
      <c r="H8" s="34">
        <v>0</v>
      </c>
      <c r="I8" s="34"/>
      <c r="J8" s="26"/>
      <c r="K8" s="34"/>
      <c r="L8" s="26"/>
      <c r="M8" s="36"/>
      <c r="N8" s="34">
        <v>0</v>
      </c>
      <c r="O8" s="34"/>
      <c r="P8" s="26"/>
      <c r="Q8" s="34"/>
      <c r="R8" s="26"/>
      <c r="S8" s="36"/>
      <c r="T8" s="34">
        <v>0</v>
      </c>
      <c r="U8" s="34">
        <v>0</v>
      </c>
      <c r="V8" s="26"/>
      <c r="W8" s="34">
        <v>0</v>
      </c>
      <c r="X8" s="26" t="s">
        <v>395</v>
      </c>
      <c r="Y8" s="36"/>
      <c r="Z8" s="89">
        <v>0</v>
      </c>
      <c r="AA8" s="89">
        <v>0</v>
      </c>
      <c r="AB8" s="82"/>
      <c r="AC8" s="89">
        <v>0</v>
      </c>
      <c r="AD8" s="82" t="str">
        <f t="shared" si="0"/>
        <v/>
      </c>
      <c r="AE8" s="155" t="str">
        <f t="shared" si="1"/>
        <v>OK</v>
      </c>
      <c r="AF8" t="s">
        <v>357</v>
      </c>
      <c r="AG8" s="218">
        <v>0</v>
      </c>
      <c r="AH8" s="218">
        <v>0</v>
      </c>
      <c r="AI8" s="218">
        <v>0</v>
      </c>
    </row>
    <row r="9" spans="1:35" x14ac:dyDescent="0.35">
      <c r="A9" s="16" t="s">
        <v>0</v>
      </c>
      <c r="B9" s="34">
        <v>70729647.670005664</v>
      </c>
      <c r="C9" s="34">
        <v>7885342.1799999764</v>
      </c>
      <c r="D9" s="26">
        <v>0.11148567029189253</v>
      </c>
      <c r="E9" s="34">
        <v>880855.03000000026</v>
      </c>
      <c r="F9" s="26">
        <v>1.245383031044766E-2</v>
      </c>
      <c r="G9" s="36"/>
      <c r="H9" s="34">
        <v>73545707.210004836</v>
      </c>
      <c r="I9" s="34">
        <v>7530504.1199999759</v>
      </c>
      <c r="J9" s="26">
        <v>0.10239216407963997</v>
      </c>
      <c r="K9" s="34">
        <v>653687.26000000024</v>
      </c>
      <c r="L9" s="26">
        <v>8.8881769555011567E-3</v>
      </c>
      <c r="M9" s="36"/>
      <c r="N9" s="34">
        <v>80211292.900004625</v>
      </c>
      <c r="O9" s="34">
        <v>8368499.0799999619</v>
      </c>
      <c r="P9" s="26">
        <v>0.11378637037379047</v>
      </c>
      <c r="Q9" s="34">
        <v>956741.22000000009</v>
      </c>
      <c r="R9" s="26">
        <v>1.3008797607562459E-2</v>
      </c>
      <c r="S9" s="36"/>
      <c r="T9" s="34">
        <v>81683510.360005394</v>
      </c>
      <c r="U9" s="34">
        <v>8424127.2300000191</v>
      </c>
      <c r="V9" s="26">
        <v>0.10313130756589907</v>
      </c>
      <c r="W9" s="34">
        <v>976623.76000000059</v>
      </c>
      <c r="X9" s="26">
        <v>1.1956192329341709E-2</v>
      </c>
      <c r="Y9" s="36"/>
      <c r="Z9" s="89">
        <v>83059429.540007114</v>
      </c>
      <c r="AA9" s="89">
        <v>7642991.2100000111</v>
      </c>
      <c r="AB9" s="82">
        <f t="shared" ref="AB9:AB15" si="2">AA9/Z9</f>
        <v>9.2018344603710805E-2</v>
      </c>
      <c r="AC9" s="89">
        <v>947186.16000000027</v>
      </c>
      <c r="AD9" s="82">
        <f t="shared" si="0"/>
        <v>1.1403716173414969E-2</v>
      </c>
      <c r="AE9" s="155" t="str">
        <f t="shared" si="1"/>
        <v>OK</v>
      </c>
      <c r="AF9" t="s">
        <v>0</v>
      </c>
      <c r="AG9" s="218">
        <v>83059429.540007114</v>
      </c>
      <c r="AH9" s="218">
        <v>7642991.2100000111</v>
      </c>
      <c r="AI9" s="218">
        <v>947186.16000000027</v>
      </c>
    </row>
    <row r="10" spans="1:35" x14ac:dyDescent="0.35">
      <c r="A10" s="16" t="s">
        <v>1</v>
      </c>
      <c r="B10" s="34">
        <v>31857787.619999893</v>
      </c>
      <c r="C10" s="34">
        <v>2432365.9399999892</v>
      </c>
      <c r="D10" s="26">
        <v>7.6350748803190038E-2</v>
      </c>
      <c r="E10" s="34">
        <v>95873.479999999981</v>
      </c>
      <c r="F10" s="26">
        <v>3.0094205267352557E-3</v>
      </c>
      <c r="G10" s="36"/>
      <c r="H10" s="34">
        <v>32153352.309999797</v>
      </c>
      <c r="I10" s="34">
        <v>1890010.6400000001</v>
      </c>
      <c r="J10" s="26">
        <v>5.8781138021872785E-2</v>
      </c>
      <c r="K10" s="34">
        <v>192114.79999999996</v>
      </c>
      <c r="L10" s="26">
        <v>5.9749539689599217E-3</v>
      </c>
      <c r="M10" s="36"/>
      <c r="N10" s="34">
        <v>33996386.440001108</v>
      </c>
      <c r="O10" s="34">
        <v>2853546.3900000025</v>
      </c>
      <c r="P10" s="26">
        <v>8.8748021123524964E-2</v>
      </c>
      <c r="Q10" s="34">
        <v>299023.50000000006</v>
      </c>
      <c r="R10" s="26">
        <v>9.2999167588196634E-3</v>
      </c>
      <c r="S10" s="36"/>
      <c r="T10" s="34">
        <v>34988142.819999896</v>
      </c>
      <c r="U10" s="34">
        <v>2639181.6699999967</v>
      </c>
      <c r="V10" s="26">
        <v>7.5430744740512201E-2</v>
      </c>
      <c r="W10" s="34">
        <v>168021.38000000006</v>
      </c>
      <c r="X10" s="26">
        <v>4.8022377427805575E-3</v>
      </c>
      <c r="Y10" s="36"/>
      <c r="Z10" s="89">
        <v>36866493.409999207</v>
      </c>
      <c r="AA10" s="89">
        <v>2454228.6599999922</v>
      </c>
      <c r="AB10" s="82">
        <f t="shared" si="2"/>
        <v>6.6570710501431582E-2</v>
      </c>
      <c r="AC10" s="89">
        <v>107266.87999999999</v>
      </c>
      <c r="AD10" s="82">
        <f t="shared" si="0"/>
        <v>2.9096035472390837E-3</v>
      </c>
      <c r="AE10" s="155" t="str">
        <f t="shared" si="1"/>
        <v>OK</v>
      </c>
      <c r="AF10" t="s">
        <v>1</v>
      </c>
      <c r="AG10" s="218">
        <v>36866493.409999207</v>
      </c>
      <c r="AH10" s="218">
        <v>2454228.6599999922</v>
      </c>
      <c r="AI10" s="218">
        <v>107266.87999999999</v>
      </c>
    </row>
    <row r="11" spans="1:35" x14ac:dyDescent="0.35">
      <c r="A11" s="16" t="s">
        <v>2</v>
      </c>
      <c r="B11" s="34">
        <v>5855443.7900000056</v>
      </c>
      <c r="C11" s="34">
        <v>953004.92999999993</v>
      </c>
      <c r="D11" s="26">
        <v>0.16275537161291731</v>
      </c>
      <c r="E11" s="34">
        <v>117389.23000000001</v>
      </c>
      <c r="F11" s="26">
        <v>2.0047879240251386E-2</v>
      </c>
      <c r="G11" s="36"/>
      <c r="H11" s="34">
        <v>6034614.9599999785</v>
      </c>
      <c r="I11" s="34">
        <v>1109034.2600000002</v>
      </c>
      <c r="J11" s="26">
        <v>0.18377879406576161</v>
      </c>
      <c r="K11" s="34">
        <v>46237.929999999993</v>
      </c>
      <c r="L11" s="26">
        <v>7.6621176838099639E-3</v>
      </c>
      <c r="M11" s="36"/>
      <c r="N11" s="34">
        <v>5840417.7499999823</v>
      </c>
      <c r="O11" s="34">
        <v>593031.63000000024</v>
      </c>
      <c r="P11" s="26">
        <v>9.82716600695933E-2</v>
      </c>
      <c r="Q11" s="34">
        <v>41588.21</v>
      </c>
      <c r="R11" s="26">
        <v>6.8916095352668776E-3</v>
      </c>
      <c r="S11" s="36"/>
      <c r="T11" s="34">
        <v>5549005.7699999651</v>
      </c>
      <c r="U11" s="34">
        <v>946731.85999999905</v>
      </c>
      <c r="V11" s="26">
        <v>0.17061288080080786</v>
      </c>
      <c r="W11" s="34">
        <v>158644.74</v>
      </c>
      <c r="X11" s="26">
        <v>2.8589759422794941E-2</v>
      </c>
      <c r="Y11" s="36"/>
      <c r="Z11" s="89">
        <v>5953308.6499999855</v>
      </c>
      <c r="AA11" s="89">
        <v>754985.85999999964</v>
      </c>
      <c r="AB11" s="82">
        <f t="shared" si="2"/>
        <v>0.12681785951077834</v>
      </c>
      <c r="AC11" s="89">
        <v>27032.849999999991</v>
      </c>
      <c r="AD11" s="82">
        <f t="shared" si="0"/>
        <v>4.5408111000594699E-3</v>
      </c>
      <c r="AE11" s="155" t="str">
        <f t="shared" si="1"/>
        <v>OK</v>
      </c>
      <c r="AF11" t="s">
        <v>2</v>
      </c>
      <c r="AG11" s="218">
        <v>5953308.6499999855</v>
      </c>
      <c r="AH11" s="218">
        <v>754985.85999999964</v>
      </c>
      <c r="AI11" s="218">
        <v>27032.849999999991</v>
      </c>
    </row>
    <row r="12" spans="1:35" x14ac:dyDescent="0.35">
      <c r="A12" s="16" t="s">
        <v>26</v>
      </c>
      <c r="B12" s="34">
        <v>0</v>
      </c>
      <c r="C12" s="34"/>
      <c r="D12" s="26"/>
      <c r="E12" s="34"/>
      <c r="F12" s="26"/>
      <c r="G12" s="36"/>
      <c r="H12" s="34">
        <v>0</v>
      </c>
      <c r="I12" s="34"/>
      <c r="J12" s="26"/>
      <c r="K12" s="34"/>
      <c r="L12" s="26"/>
      <c r="M12" s="36"/>
      <c r="N12" s="34">
        <v>0</v>
      </c>
      <c r="O12" s="34"/>
      <c r="P12" s="26"/>
      <c r="Q12" s="34">
        <v>0</v>
      </c>
      <c r="R12" s="26"/>
      <c r="S12" s="36"/>
      <c r="T12" s="34">
        <v>0</v>
      </c>
      <c r="U12" s="34">
        <v>0</v>
      </c>
      <c r="V12" s="26"/>
      <c r="W12" s="34">
        <v>0</v>
      </c>
      <c r="X12" s="26" t="s">
        <v>395</v>
      </c>
      <c r="Y12" s="36"/>
      <c r="Z12" s="89">
        <v>16799862.119999707</v>
      </c>
      <c r="AA12" s="89">
        <v>15109686.469999978</v>
      </c>
      <c r="AB12" s="82">
        <f t="shared" si="2"/>
        <v>0.89939348085555848</v>
      </c>
      <c r="AC12" s="89">
        <v>11270269.229999969</v>
      </c>
      <c r="AD12" s="82">
        <f t="shared" si="0"/>
        <v>0.67085486473029254</v>
      </c>
      <c r="AE12" s="155" t="str">
        <f t="shared" si="1"/>
        <v>OK</v>
      </c>
      <c r="AF12" t="s">
        <v>26</v>
      </c>
      <c r="AG12" s="218">
        <v>16799862.119999707</v>
      </c>
      <c r="AH12" s="218">
        <v>15109686.469999978</v>
      </c>
      <c r="AI12" s="218">
        <v>11270269.229999969</v>
      </c>
    </row>
    <row r="13" spans="1:35" x14ac:dyDescent="0.35">
      <c r="A13" s="16" t="s">
        <v>306</v>
      </c>
      <c r="B13" s="34">
        <v>2.2737367544323206E-13</v>
      </c>
      <c r="C13" s="34">
        <v>51.250000000000227</v>
      </c>
      <c r="D13" s="26">
        <v>0</v>
      </c>
      <c r="E13" s="34"/>
      <c r="F13" s="26"/>
      <c r="G13" s="36"/>
      <c r="H13" s="34">
        <v>0</v>
      </c>
      <c r="I13" s="34"/>
      <c r="J13" s="26"/>
      <c r="K13" s="34">
        <v>0</v>
      </c>
      <c r="L13" s="26"/>
      <c r="M13" s="36"/>
      <c r="N13" s="34">
        <v>11335.179999999998</v>
      </c>
      <c r="O13" s="34">
        <v>0</v>
      </c>
      <c r="P13" s="26"/>
      <c r="Q13" s="34">
        <v>0</v>
      </c>
      <c r="R13" s="26"/>
      <c r="S13" s="36"/>
      <c r="T13" s="34">
        <v>0</v>
      </c>
      <c r="U13" s="34">
        <v>11335.179999999997</v>
      </c>
      <c r="V13" s="26"/>
      <c r="W13" s="34">
        <v>11335.179999999997</v>
      </c>
      <c r="X13" s="26" t="s">
        <v>395</v>
      </c>
      <c r="Y13" s="36"/>
      <c r="Z13" s="89">
        <v>30480.689999999995</v>
      </c>
      <c r="AA13" s="89">
        <v>54314.039999999994</v>
      </c>
      <c r="AB13" s="82">
        <f t="shared" si="2"/>
        <v>1.7819163542557601</v>
      </c>
      <c r="AC13" s="89">
        <v>54314.039999999994</v>
      </c>
      <c r="AD13" s="82">
        <f t="shared" si="0"/>
        <v>1.7819163542557601</v>
      </c>
      <c r="AE13" s="155" t="str">
        <f t="shared" si="1"/>
        <v>OK</v>
      </c>
      <c r="AF13" t="s">
        <v>306</v>
      </c>
      <c r="AG13" s="218">
        <v>30480.689999999995</v>
      </c>
      <c r="AH13" s="218">
        <v>54314.039999999994</v>
      </c>
      <c r="AI13" s="218">
        <v>54314.039999999994</v>
      </c>
    </row>
    <row r="14" spans="1:35" x14ac:dyDescent="0.35">
      <c r="A14" s="16" t="s">
        <v>3</v>
      </c>
      <c r="B14" s="34">
        <v>5097201.3699999666</v>
      </c>
      <c r="C14" s="34">
        <v>218255.87</v>
      </c>
      <c r="D14" s="26">
        <v>4.2818765466980449E-2</v>
      </c>
      <c r="E14" s="34">
        <v>73761.58</v>
      </c>
      <c r="F14" s="26">
        <v>1.4470995875134611E-2</v>
      </c>
      <c r="G14" s="36"/>
      <c r="H14" s="34">
        <v>4940543.8499999763</v>
      </c>
      <c r="I14" s="34">
        <v>238187.3</v>
      </c>
      <c r="J14" s="26">
        <v>4.8210745057955744E-2</v>
      </c>
      <c r="K14" s="34">
        <v>44194.890000000014</v>
      </c>
      <c r="L14" s="26">
        <v>8.9453492048249348E-3</v>
      </c>
      <c r="M14" s="36"/>
      <c r="N14" s="34">
        <v>4736784.8099999661</v>
      </c>
      <c r="O14" s="34">
        <v>192312.7099999999</v>
      </c>
      <c r="P14" s="26">
        <v>3.8925413039295427E-2</v>
      </c>
      <c r="Q14" s="34">
        <v>8183.9000000000005</v>
      </c>
      <c r="R14" s="26">
        <v>1.6564775556035273E-3</v>
      </c>
      <c r="S14" s="36"/>
      <c r="T14" s="34">
        <v>5394224.0599999856</v>
      </c>
      <c r="U14" s="34">
        <v>318853.33</v>
      </c>
      <c r="V14" s="26">
        <v>5.9110138261479789E-2</v>
      </c>
      <c r="W14" s="34">
        <v>16482.160000000003</v>
      </c>
      <c r="X14" s="26">
        <v>3.0555200927267468E-3</v>
      </c>
      <c r="Y14" s="36"/>
      <c r="Z14" s="89">
        <v>4378820.5900000222</v>
      </c>
      <c r="AA14" s="89">
        <v>792459.97999999963</v>
      </c>
      <c r="AB14" s="82">
        <f t="shared" si="2"/>
        <v>0.18097566769685708</v>
      </c>
      <c r="AC14" s="89">
        <v>12449.150000000001</v>
      </c>
      <c r="AD14" s="82">
        <f t="shared" si="0"/>
        <v>2.8430372389383366E-3</v>
      </c>
      <c r="AE14" s="155" t="str">
        <f t="shared" si="1"/>
        <v>OK</v>
      </c>
      <c r="AF14" t="s">
        <v>3</v>
      </c>
      <c r="AG14" s="218">
        <v>4378820.5900000222</v>
      </c>
      <c r="AH14" s="218">
        <v>792459.97999999963</v>
      </c>
      <c r="AI14" s="218">
        <v>12449.150000000001</v>
      </c>
    </row>
    <row r="15" spans="1:35" x14ac:dyDescent="0.35">
      <c r="A15" s="16" t="s">
        <v>22</v>
      </c>
      <c r="B15" s="34">
        <v>21492.429999999989</v>
      </c>
      <c r="C15" s="34">
        <v>0</v>
      </c>
      <c r="D15" s="26">
        <v>0</v>
      </c>
      <c r="E15" s="34">
        <v>0</v>
      </c>
      <c r="F15" s="26">
        <v>0</v>
      </c>
      <c r="G15" s="36"/>
      <c r="H15" s="34">
        <v>36487.49</v>
      </c>
      <c r="I15" s="34">
        <v>6552.65</v>
      </c>
      <c r="J15" s="26">
        <v>0.17958620886227034</v>
      </c>
      <c r="K15" s="34">
        <v>0</v>
      </c>
      <c r="L15" s="26">
        <v>0</v>
      </c>
      <c r="M15" s="36"/>
      <c r="N15" s="34">
        <v>59612.480000000047</v>
      </c>
      <c r="O15" s="34">
        <v>0</v>
      </c>
      <c r="P15" s="26">
        <v>0</v>
      </c>
      <c r="Q15" s="34">
        <v>0</v>
      </c>
      <c r="R15" s="26">
        <v>0</v>
      </c>
      <c r="S15" s="36"/>
      <c r="T15" s="34">
        <v>56718.589999999989</v>
      </c>
      <c r="U15" s="34">
        <v>0</v>
      </c>
      <c r="V15" s="26"/>
      <c r="W15" s="34">
        <v>0</v>
      </c>
      <c r="X15" s="26">
        <v>0</v>
      </c>
      <c r="Y15" s="36"/>
      <c r="Z15" s="89">
        <v>58265.439999999959</v>
      </c>
      <c r="AA15" s="89">
        <v>25307.759999999995</v>
      </c>
      <c r="AB15" s="82">
        <f t="shared" si="2"/>
        <v>0.43435285136437679</v>
      </c>
      <c r="AC15" s="89">
        <v>593.66000000000008</v>
      </c>
      <c r="AD15" s="82">
        <f t="shared" si="0"/>
        <v>1.0188887271768659E-2</v>
      </c>
      <c r="AE15" s="155" t="str">
        <f t="shared" si="1"/>
        <v>OK</v>
      </c>
      <c r="AF15" t="s">
        <v>22</v>
      </c>
      <c r="AG15" s="218">
        <v>58265.439999999959</v>
      </c>
      <c r="AH15" s="218">
        <v>25307.759999999995</v>
      </c>
      <c r="AI15" s="218">
        <v>593.66000000000008</v>
      </c>
    </row>
    <row r="16" spans="1:35" x14ac:dyDescent="0.35">
      <c r="A16" s="16" t="s">
        <v>23</v>
      </c>
      <c r="B16" s="34"/>
      <c r="C16" s="34"/>
      <c r="D16" s="26"/>
      <c r="E16" s="34"/>
      <c r="F16" s="26"/>
      <c r="G16" s="36"/>
      <c r="H16" s="34">
        <v>0</v>
      </c>
      <c r="I16" s="34"/>
      <c r="J16" s="26"/>
      <c r="K16" s="34"/>
      <c r="L16" s="26"/>
      <c r="M16" s="36"/>
      <c r="N16" s="34">
        <v>0</v>
      </c>
      <c r="O16" s="34">
        <v>0</v>
      </c>
      <c r="P16" s="26"/>
      <c r="Q16" s="34">
        <v>0</v>
      </c>
      <c r="R16" s="26"/>
      <c r="S16" s="36"/>
      <c r="T16" s="34">
        <v>0</v>
      </c>
      <c r="U16" s="34">
        <v>0</v>
      </c>
      <c r="V16" s="26"/>
      <c r="W16" s="34">
        <v>0</v>
      </c>
      <c r="X16" s="26" t="s">
        <v>395</v>
      </c>
      <c r="Y16" s="36"/>
      <c r="Z16" s="89">
        <v>0</v>
      </c>
      <c r="AA16" s="89">
        <v>0</v>
      </c>
      <c r="AB16" s="82"/>
      <c r="AC16" s="89">
        <v>0</v>
      </c>
      <c r="AD16" s="82" t="str">
        <f t="shared" si="0"/>
        <v/>
      </c>
      <c r="AE16" s="155" t="str">
        <f t="shared" si="1"/>
        <v>OK</v>
      </c>
      <c r="AF16" t="s">
        <v>23</v>
      </c>
      <c r="AG16" s="218">
        <v>0</v>
      </c>
      <c r="AH16" s="218">
        <v>0</v>
      </c>
      <c r="AI16" s="218">
        <v>0</v>
      </c>
    </row>
    <row r="17" spans="1:35" x14ac:dyDescent="0.35">
      <c r="A17" s="16" t="s">
        <v>4</v>
      </c>
      <c r="B17" s="34">
        <v>1130933.2800000003</v>
      </c>
      <c r="C17" s="34">
        <v>170290.12999999998</v>
      </c>
      <c r="D17" s="26">
        <v>0.15057486857226443</v>
      </c>
      <c r="E17" s="34">
        <v>33551.25</v>
      </c>
      <c r="F17" s="26">
        <v>2.9666869472618217E-2</v>
      </c>
      <c r="G17" s="36"/>
      <c r="H17" s="34">
        <v>1314400.3500000008</v>
      </c>
      <c r="I17" s="34">
        <v>578048.33000000007</v>
      </c>
      <c r="J17" s="26">
        <v>0.43978102257809026</v>
      </c>
      <c r="K17" s="34">
        <v>47699.85</v>
      </c>
      <c r="L17" s="26">
        <v>3.629019879673645E-2</v>
      </c>
      <c r="M17" s="36"/>
      <c r="N17" s="34">
        <v>2369287.11</v>
      </c>
      <c r="O17" s="34">
        <v>629095.90000000061</v>
      </c>
      <c r="P17" s="26">
        <v>0.47861817748298702</v>
      </c>
      <c r="Q17" s="34">
        <v>45068.05999999999</v>
      </c>
      <c r="R17" s="26">
        <v>3.4287924527713315E-2</v>
      </c>
      <c r="S17" s="36"/>
      <c r="T17" s="34">
        <v>2543596.7699999991</v>
      </c>
      <c r="U17" s="34">
        <v>426127.34999999992</v>
      </c>
      <c r="V17" s="26">
        <v>0.16752944296276964</v>
      </c>
      <c r="W17" s="34">
        <v>4676.57</v>
      </c>
      <c r="X17" s="26">
        <v>1.8385657880828341E-3</v>
      </c>
      <c r="Y17" s="36"/>
      <c r="Z17" s="89">
        <v>2391117.6099999989</v>
      </c>
      <c r="AA17" s="89">
        <v>240951.90000000011</v>
      </c>
      <c r="AB17" s="82">
        <f>AA17/Z17</f>
        <v>0.10076957276894473</v>
      </c>
      <c r="AC17" s="89">
        <v>23840.160000000003</v>
      </c>
      <c r="AD17" s="82">
        <f t="shared" si="0"/>
        <v>9.9703000389010626E-3</v>
      </c>
      <c r="AE17" s="155" t="str">
        <f t="shared" si="1"/>
        <v>OK</v>
      </c>
      <c r="AF17" t="s">
        <v>4</v>
      </c>
      <c r="AG17" s="218">
        <v>2391117.6099999989</v>
      </c>
      <c r="AH17" s="218">
        <v>240951.90000000011</v>
      </c>
      <c r="AI17" s="218">
        <v>23840.160000000003</v>
      </c>
    </row>
    <row r="18" spans="1:35" x14ac:dyDescent="0.35">
      <c r="A18" s="16" t="s">
        <v>6</v>
      </c>
      <c r="B18" s="34">
        <v>38379703.53999991</v>
      </c>
      <c r="C18" s="34">
        <v>2709386.4199999915</v>
      </c>
      <c r="D18" s="26">
        <v>7.0594250869505229E-2</v>
      </c>
      <c r="E18" s="34">
        <v>124163.40999999999</v>
      </c>
      <c r="F18" s="26">
        <v>3.2351320762703389E-3</v>
      </c>
      <c r="G18" s="36"/>
      <c r="H18" s="34">
        <v>38139119.509999581</v>
      </c>
      <c r="I18" s="34">
        <v>2664190.2900000047</v>
      </c>
      <c r="J18" s="26">
        <v>6.9854530577232871E-2</v>
      </c>
      <c r="K18" s="34">
        <v>218373.45</v>
      </c>
      <c r="L18" s="26">
        <v>5.7257076934548881E-3</v>
      </c>
      <c r="M18" s="36"/>
      <c r="N18" s="34">
        <v>37374400.070000038</v>
      </c>
      <c r="O18" s="34">
        <v>3344401.7199999904</v>
      </c>
      <c r="P18" s="26">
        <v>8.768953670058198E-2</v>
      </c>
      <c r="Q18" s="34">
        <v>241050.24000000005</v>
      </c>
      <c r="R18" s="26">
        <v>6.3202885409244913E-3</v>
      </c>
      <c r="S18" s="36"/>
      <c r="T18" s="34">
        <v>37868179.580000155</v>
      </c>
      <c r="U18" s="34">
        <v>3073960.16</v>
      </c>
      <c r="V18" s="26">
        <v>8.1175282099472598E-2</v>
      </c>
      <c r="W18" s="34">
        <v>120343.07</v>
      </c>
      <c r="X18" s="26">
        <v>3.1779470609555908E-3</v>
      </c>
      <c r="Y18" s="36"/>
      <c r="Z18" s="89">
        <v>36730875.280000083</v>
      </c>
      <c r="AA18" s="89">
        <v>2473636.5600000024</v>
      </c>
      <c r="AB18" s="82">
        <f>AA18/Z18</f>
        <v>6.7344884681985628E-2</v>
      </c>
      <c r="AC18" s="89">
        <v>166462.46999999997</v>
      </c>
      <c r="AD18" s="82">
        <f t="shared" si="0"/>
        <v>4.5319494493679703E-3</v>
      </c>
      <c r="AE18" s="155" t="str">
        <f t="shared" si="1"/>
        <v>OK</v>
      </c>
      <c r="AF18" t="s">
        <v>6</v>
      </c>
      <c r="AG18" s="218">
        <v>36730875.280000083</v>
      </c>
      <c r="AH18" s="218">
        <v>2473636.5600000024</v>
      </c>
      <c r="AI18" s="218">
        <v>166462.46999999997</v>
      </c>
    </row>
    <row r="19" spans="1:35" x14ac:dyDescent="0.35">
      <c r="A19" s="16" t="s">
        <v>5</v>
      </c>
      <c r="B19" s="34">
        <v>0</v>
      </c>
      <c r="C19" s="34"/>
      <c r="D19" s="26"/>
      <c r="E19" s="34"/>
      <c r="F19" s="26"/>
      <c r="G19" s="36"/>
      <c r="H19" s="34">
        <v>0</v>
      </c>
      <c r="I19" s="34"/>
      <c r="J19" s="26"/>
      <c r="K19" s="34"/>
      <c r="L19" s="26"/>
      <c r="M19" s="36"/>
      <c r="N19" s="34">
        <v>0</v>
      </c>
      <c r="O19" s="34">
        <v>0</v>
      </c>
      <c r="P19" s="26"/>
      <c r="Q19" s="34">
        <v>0</v>
      </c>
      <c r="R19" s="26"/>
      <c r="S19" s="36"/>
      <c r="T19" s="34">
        <v>0</v>
      </c>
      <c r="U19" s="34">
        <v>0</v>
      </c>
      <c r="V19" s="26"/>
      <c r="W19" s="34">
        <v>0</v>
      </c>
      <c r="X19" s="26" t="s">
        <v>395</v>
      </c>
      <c r="Y19" s="36"/>
      <c r="Z19" s="89">
        <v>0</v>
      </c>
      <c r="AA19" s="89">
        <v>0</v>
      </c>
      <c r="AB19" s="82"/>
      <c r="AC19" s="89">
        <v>0</v>
      </c>
      <c r="AD19" s="82" t="str">
        <f t="shared" si="0"/>
        <v/>
      </c>
      <c r="AE19" s="155" t="str">
        <f t="shared" si="1"/>
        <v>OK</v>
      </c>
      <c r="AF19" t="s">
        <v>5</v>
      </c>
      <c r="AG19" s="218">
        <v>0</v>
      </c>
      <c r="AH19" s="218">
        <v>0</v>
      </c>
      <c r="AI19" s="218">
        <v>0</v>
      </c>
    </row>
    <row r="20" spans="1:35" x14ac:dyDescent="0.35">
      <c r="A20" s="16" t="s">
        <v>24</v>
      </c>
      <c r="B20" s="34">
        <v>0</v>
      </c>
      <c r="C20" s="34"/>
      <c r="D20" s="26"/>
      <c r="E20" s="34"/>
      <c r="F20" s="26"/>
      <c r="G20" s="36"/>
      <c r="H20" s="34">
        <v>0</v>
      </c>
      <c r="I20" s="34"/>
      <c r="J20" s="26"/>
      <c r="K20" s="34"/>
      <c r="L20" s="26"/>
      <c r="M20" s="36"/>
      <c r="N20" s="34">
        <v>0</v>
      </c>
      <c r="O20" s="34"/>
      <c r="P20" s="26"/>
      <c r="Q20" s="34">
        <v>0</v>
      </c>
      <c r="R20" s="26"/>
      <c r="S20" s="36"/>
      <c r="T20" s="34">
        <v>0</v>
      </c>
      <c r="U20" s="34">
        <v>0</v>
      </c>
      <c r="V20" s="26"/>
      <c r="W20" s="34">
        <v>0</v>
      </c>
      <c r="X20" s="26" t="s">
        <v>395</v>
      </c>
      <c r="Y20" s="36"/>
      <c r="Z20" s="89">
        <v>0</v>
      </c>
      <c r="AA20" s="89">
        <v>0</v>
      </c>
      <c r="AB20" s="82"/>
      <c r="AC20" s="89">
        <v>0</v>
      </c>
      <c r="AD20" s="82" t="str">
        <f t="shared" si="0"/>
        <v/>
      </c>
      <c r="AE20" s="155" t="str">
        <f t="shared" si="1"/>
        <v>OK</v>
      </c>
      <c r="AF20" t="s">
        <v>24</v>
      </c>
      <c r="AG20" s="218">
        <v>0</v>
      </c>
      <c r="AH20" s="218">
        <v>0</v>
      </c>
      <c r="AI20" s="218">
        <v>0</v>
      </c>
    </row>
    <row r="21" spans="1:35" x14ac:dyDescent="0.35">
      <c r="A21" s="16" t="s">
        <v>7</v>
      </c>
      <c r="B21" s="34">
        <v>505269.7899999998</v>
      </c>
      <c r="C21" s="34">
        <v>136133.79999999999</v>
      </c>
      <c r="D21" s="26">
        <v>0.26942794264426545</v>
      </c>
      <c r="E21" s="34">
        <v>31005.690000000002</v>
      </c>
      <c r="F21" s="26">
        <v>6.1364622650406257E-2</v>
      </c>
      <c r="G21" s="36"/>
      <c r="H21" s="34">
        <v>311757.63000000012</v>
      </c>
      <c r="I21" s="34">
        <v>84878.239999999991</v>
      </c>
      <c r="J21" s="26">
        <v>0.27225713770020626</v>
      </c>
      <c r="K21" s="34">
        <v>61393.659999999989</v>
      </c>
      <c r="L21" s="26">
        <v>0.19692752988916412</v>
      </c>
      <c r="M21" s="36"/>
      <c r="N21" s="34">
        <v>269318.78000000003</v>
      </c>
      <c r="O21" s="34">
        <v>36086.1</v>
      </c>
      <c r="P21" s="26">
        <v>0.11575049502397097</v>
      </c>
      <c r="Q21" s="34">
        <v>4030.73</v>
      </c>
      <c r="R21" s="26">
        <v>1.292905004442072E-2</v>
      </c>
      <c r="S21" s="36"/>
      <c r="T21" s="34">
        <v>261081.91000000003</v>
      </c>
      <c r="U21" s="34">
        <v>48682.9</v>
      </c>
      <c r="V21" s="26">
        <v>0.18646600218299306</v>
      </c>
      <c r="W21" s="34">
        <v>1893.96</v>
      </c>
      <c r="X21" s="26">
        <v>7.2542751046979848E-3</v>
      </c>
      <c r="Y21" s="36"/>
      <c r="Z21" s="89">
        <v>292168.16999999993</v>
      </c>
      <c r="AA21" s="89">
        <v>18579.02</v>
      </c>
      <c r="AB21" s="82">
        <f>AA21/Z21</f>
        <v>6.3590157682132192E-2</v>
      </c>
      <c r="AC21" s="89">
        <v>0</v>
      </c>
      <c r="AD21" s="82">
        <f t="shared" si="0"/>
        <v>0</v>
      </c>
      <c r="AE21" s="155" t="str">
        <f t="shared" si="1"/>
        <v>OK</v>
      </c>
      <c r="AF21" t="s">
        <v>7</v>
      </c>
      <c r="AG21" s="218">
        <v>292168.16999999993</v>
      </c>
      <c r="AH21" s="218">
        <v>18579.02</v>
      </c>
      <c r="AI21" s="218">
        <v>0</v>
      </c>
    </row>
    <row r="22" spans="1:35" x14ac:dyDescent="0.35">
      <c r="A22" s="16" t="s">
        <v>8</v>
      </c>
      <c r="B22" s="34">
        <v>6135518.3699999731</v>
      </c>
      <c r="C22" s="34">
        <v>758329.14000000025</v>
      </c>
      <c r="D22" s="26">
        <v>0.12359658862858292</v>
      </c>
      <c r="E22" s="34">
        <v>40518.339999999997</v>
      </c>
      <c r="F22" s="26">
        <v>6.6038984086686341E-3</v>
      </c>
      <c r="G22" s="36"/>
      <c r="H22" s="34">
        <v>5708077.5299999928</v>
      </c>
      <c r="I22" s="34">
        <v>645940.58000000019</v>
      </c>
      <c r="J22" s="26">
        <v>0.11316254493831324</v>
      </c>
      <c r="K22" s="34">
        <v>97517.18</v>
      </c>
      <c r="L22" s="26">
        <v>1.708406718154722E-2</v>
      </c>
      <c r="M22" s="36"/>
      <c r="N22" s="34">
        <v>5263103.8199999891</v>
      </c>
      <c r="O22" s="34">
        <v>674199.94999999984</v>
      </c>
      <c r="P22" s="26">
        <v>0.11811331336279181</v>
      </c>
      <c r="Q22" s="34">
        <v>70930.460000000006</v>
      </c>
      <c r="R22" s="26">
        <v>1.2426330866602664E-2</v>
      </c>
      <c r="S22" s="36"/>
      <c r="T22" s="34">
        <v>5292838.3599999715</v>
      </c>
      <c r="U22" s="34">
        <v>828822.42999999993</v>
      </c>
      <c r="V22" s="26">
        <v>0.15659318755390905</v>
      </c>
      <c r="W22" s="34">
        <v>60258.64</v>
      </c>
      <c r="X22" s="26">
        <v>1.1384938647550221E-2</v>
      </c>
      <c r="Y22" s="36"/>
      <c r="Z22" s="89">
        <v>5997563.7799999816</v>
      </c>
      <c r="AA22" s="89">
        <v>483968.14999999979</v>
      </c>
      <c r="AB22" s="82">
        <f>AA22/Z22</f>
        <v>8.0694123106099136E-2</v>
      </c>
      <c r="AC22" s="89">
        <v>36488.28</v>
      </c>
      <c r="AD22" s="82">
        <f t="shared" si="0"/>
        <v>6.0838502662826392E-3</v>
      </c>
      <c r="AE22" s="155" t="str">
        <f t="shared" si="1"/>
        <v>OK</v>
      </c>
      <c r="AF22" t="s">
        <v>8</v>
      </c>
      <c r="AG22" s="218">
        <v>5997563.7799999816</v>
      </c>
      <c r="AH22" s="218">
        <v>483968.14999999979</v>
      </c>
      <c r="AI22" s="218">
        <v>36488.28</v>
      </c>
    </row>
    <row r="23" spans="1:35" x14ac:dyDescent="0.35">
      <c r="A23" s="16" t="s">
        <v>19</v>
      </c>
      <c r="B23" s="34">
        <v>171860589.29999661</v>
      </c>
      <c r="C23" s="34">
        <v>25029833.520000007</v>
      </c>
      <c r="D23" s="26">
        <v>0.14564033337688839</v>
      </c>
      <c r="E23" s="34">
        <v>2324898.3099999996</v>
      </c>
      <c r="F23" s="26">
        <v>1.3527815303494048E-2</v>
      </c>
      <c r="G23" s="36"/>
      <c r="H23" s="34">
        <v>185682312.35999787</v>
      </c>
      <c r="I23" s="34">
        <v>27364182.620000064</v>
      </c>
      <c r="J23" s="26">
        <v>0.14737097073062527</v>
      </c>
      <c r="K23" s="34">
        <v>2413172.2600000035</v>
      </c>
      <c r="L23" s="26">
        <v>1.2996241964724051E-2</v>
      </c>
      <c r="M23" s="36"/>
      <c r="N23" s="34">
        <v>196112500.62999451</v>
      </c>
      <c r="O23" s="34">
        <v>29269464.839999828</v>
      </c>
      <c r="P23" s="26">
        <v>0.15763194925778748</v>
      </c>
      <c r="Q23" s="34">
        <v>2943984.2400000021</v>
      </c>
      <c r="R23" s="26">
        <v>1.5854952486224174E-2</v>
      </c>
      <c r="S23" s="36"/>
      <c r="T23" s="34">
        <v>205607239.63999593</v>
      </c>
      <c r="U23" s="34">
        <v>28151972.989999976</v>
      </c>
      <c r="V23" s="26">
        <v>0.13692111736577045</v>
      </c>
      <c r="W23" s="34">
        <v>2656398.2499999995</v>
      </c>
      <c r="X23" s="26">
        <v>1.2919770017102362E-2</v>
      </c>
      <c r="Y23" s="36"/>
      <c r="Z23" s="89">
        <v>212131791.92998832</v>
      </c>
      <c r="AA23" s="89">
        <v>25731245.359999765</v>
      </c>
      <c r="AB23" s="82">
        <f>AA23/Z23</f>
        <v>0.12129839250352474</v>
      </c>
      <c r="AC23" s="89">
        <v>2683459.5300000003</v>
      </c>
      <c r="AD23" s="82">
        <f t="shared" si="0"/>
        <v>1.2649963994485303E-2</v>
      </c>
      <c r="AE23" s="155" t="str">
        <f t="shared" si="1"/>
        <v>OK</v>
      </c>
      <c r="AF23" t="s">
        <v>19</v>
      </c>
      <c r="AG23" s="218">
        <v>212131791.92998832</v>
      </c>
      <c r="AH23" s="218">
        <v>25731245.359999765</v>
      </c>
      <c r="AI23" s="218">
        <v>2683459.5300000003</v>
      </c>
    </row>
    <row r="24" spans="1:35" x14ac:dyDescent="0.35">
      <c r="A24" s="16" t="s">
        <v>20</v>
      </c>
      <c r="B24" s="34">
        <v>0</v>
      </c>
      <c r="C24" s="34"/>
      <c r="D24" s="26"/>
      <c r="E24" s="34"/>
      <c r="F24" s="26"/>
      <c r="G24" s="36"/>
      <c r="H24" s="34">
        <v>0</v>
      </c>
      <c r="I24" s="34"/>
      <c r="J24" s="26"/>
      <c r="K24" s="34"/>
      <c r="L24" s="26"/>
      <c r="M24" s="36"/>
      <c r="N24" s="34">
        <v>0</v>
      </c>
      <c r="O24" s="34"/>
      <c r="P24" s="26"/>
      <c r="Q24" s="34">
        <v>0</v>
      </c>
      <c r="R24" s="26"/>
      <c r="S24" s="36"/>
      <c r="T24" s="34">
        <v>0</v>
      </c>
      <c r="U24" s="34">
        <v>0</v>
      </c>
      <c r="V24" s="26"/>
      <c r="W24" s="34">
        <v>0</v>
      </c>
      <c r="X24" s="26" t="s">
        <v>395</v>
      </c>
      <c r="Y24" s="36"/>
      <c r="Z24" s="89">
        <v>0</v>
      </c>
      <c r="AA24" s="89">
        <v>0</v>
      </c>
      <c r="AB24" s="82"/>
      <c r="AC24" s="89">
        <v>0</v>
      </c>
      <c r="AD24" s="82" t="str">
        <f t="shared" si="0"/>
        <v/>
      </c>
      <c r="AE24" s="155" t="str">
        <f t="shared" si="1"/>
        <v>OK</v>
      </c>
      <c r="AF24" t="s">
        <v>20</v>
      </c>
      <c r="AG24" s="218">
        <v>0</v>
      </c>
      <c r="AH24" s="218">
        <v>0</v>
      </c>
      <c r="AI24" s="218">
        <v>0</v>
      </c>
    </row>
    <row r="25" spans="1:35" x14ac:dyDescent="0.35">
      <c r="A25" s="16" t="s">
        <v>27</v>
      </c>
      <c r="B25" s="34">
        <v>0</v>
      </c>
      <c r="C25" s="34">
        <v>0</v>
      </c>
      <c r="D25" s="26"/>
      <c r="E25" s="34"/>
      <c r="F25" s="26"/>
      <c r="G25" s="36"/>
      <c r="H25" s="34">
        <v>0</v>
      </c>
      <c r="I25" s="34"/>
      <c r="J25" s="26"/>
      <c r="K25" s="34"/>
      <c r="L25" s="26"/>
      <c r="M25" s="36"/>
      <c r="N25" s="34">
        <v>0</v>
      </c>
      <c r="O25" s="34">
        <v>0</v>
      </c>
      <c r="P25" s="26"/>
      <c r="Q25" s="34">
        <v>0</v>
      </c>
      <c r="R25" s="26"/>
      <c r="S25" s="36"/>
      <c r="T25" s="34">
        <v>0</v>
      </c>
      <c r="U25" s="34">
        <v>0</v>
      </c>
      <c r="V25" s="26"/>
      <c r="W25" s="34">
        <v>0</v>
      </c>
      <c r="X25" s="26" t="s">
        <v>395</v>
      </c>
      <c r="Y25" s="36"/>
      <c r="Z25" s="89">
        <v>0</v>
      </c>
      <c r="AA25" s="89">
        <v>0</v>
      </c>
      <c r="AB25" s="82"/>
      <c r="AC25" s="89">
        <v>0</v>
      </c>
      <c r="AD25" s="82" t="str">
        <f t="shared" si="0"/>
        <v/>
      </c>
      <c r="AE25" s="155" t="str">
        <f t="shared" si="1"/>
        <v>OK</v>
      </c>
      <c r="AF25" t="s">
        <v>27</v>
      </c>
      <c r="AG25" s="218">
        <v>0</v>
      </c>
      <c r="AH25" s="218">
        <v>0</v>
      </c>
      <c r="AI25" s="218">
        <v>0</v>
      </c>
    </row>
    <row r="26" spans="1:35" x14ac:dyDescent="0.35">
      <c r="A26" s="16" t="s">
        <v>9</v>
      </c>
      <c r="B26" s="34">
        <v>124990.11999999997</v>
      </c>
      <c r="C26" s="34">
        <v>13775.329999999998</v>
      </c>
      <c r="D26" s="26">
        <v>0.11021135110519137</v>
      </c>
      <c r="E26" s="34">
        <v>0</v>
      </c>
      <c r="F26" s="26">
        <v>0</v>
      </c>
      <c r="G26" s="36"/>
      <c r="H26" s="34">
        <v>240563.68000000011</v>
      </c>
      <c r="I26" s="34">
        <v>27446.760000000002</v>
      </c>
      <c r="J26" s="26">
        <v>0.11409353232374891</v>
      </c>
      <c r="K26" s="34">
        <v>-1.999999999998181E-2</v>
      </c>
      <c r="L26" s="26">
        <v>-8.3138069720174714E-8</v>
      </c>
      <c r="M26" s="36"/>
      <c r="N26" s="34">
        <v>160307.01999999996</v>
      </c>
      <c r="O26" s="34">
        <v>31556.78</v>
      </c>
      <c r="P26" s="26">
        <v>0.13117848878933006</v>
      </c>
      <c r="Q26" s="34">
        <v>0</v>
      </c>
      <c r="R26" s="26">
        <v>0</v>
      </c>
      <c r="S26" s="36"/>
      <c r="T26" s="34">
        <v>221535.73</v>
      </c>
      <c r="U26" s="34">
        <v>43149.3</v>
      </c>
      <c r="V26" s="26">
        <v>0.19477354736412045</v>
      </c>
      <c r="W26" s="34">
        <v>23421.390000000003</v>
      </c>
      <c r="X26" s="26">
        <v>0.10572285563145954</v>
      </c>
      <c r="Y26" s="36"/>
      <c r="Z26" s="89">
        <v>75505.450000000012</v>
      </c>
      <c r="AA26" s="89">
        <v>4843.87</v>
      </c>
      <c r="AB26" s="82">
        <f t="shared" ref="AB26:AB36" si="3">AA26/Z26</f>
        <v>6.4152587660890686E-2</v>
      </c>
      <c r="AC26" s="89">
        <v>1013.95</v>
      </c>
      <c r="AD26" s="82">
        <f t="shared" si="0"/>
        <v>1.3428831958487764E-2</v>
      </c>
      <c r="AE26" s="155" t="str">
        <f t="shared" si="1"/>
        <v>OK</v>
      </c>
      <c r="AF26" t="s">
        <v>9</v>
      </c>
      <c r="AG26" s="218">
        <v>75505.450000000012</v>
      </c>
      <c r="AH26" s="218">
        <v>4843.87</v>
      </c>
      <c r="AI26" s="218">
        <v>1013.95</v>
      </c>
    </row>
    <row r="27" spans="1:35" x14ac:dyDescent="0.35">
      <c r="A27" s="16" t="s">
        <v>342</v>
      </c>
      <c r="B27" s="34">
        <v>837864.2200000002</v>
      </c>
      <c r="C27" s="34">
        <v>103167.64999999998</v>
      </c>
      <c r="D27" s="26">
        <v>0.1231317050392723</v>
      </c>
      <c r="E27" s="34">
        <v>1740.01</v>
      </c>
      <c r="F27" s="26">
        <v>2.0767207364458164E-3</v>
      </c>
      <c r="G27" s="36"/>
      <c r="H27" s="34">
        <v>577645.15999999992</v>
      </c>
      <c r="I27" s="34">
        <v>40913.459999999992</v>
      </c>
      <c r="J27" s="26">
        <v>7.082801490105102E-2</v>
      </c>
      <c r="K27" s="34">
        <v>2731.08</v>
      </c>
      <c r="L27" s="26">
        <v>4.727954441789143E-3</v>
      </c>
      <c r="M27" s="36"/>
      <c r="N27" s="34">
        <v>314038.68999999994</v>
      </c>
      <c r="O27" s="34">
        <v>50677.670000000013</v>
      </c>
      <c r="P27" s="26">
        <v>8.7731488999232707E-2</v>
      </c>
      <c r="Q27" s="34">
        <v>1142.77</v>
      </c>
      <c r="R27" s="26">
        <v>1.9783252403603627E-3</v>
      </c>
      <c r="S27" s="36"/>
      <c r="T27" s="34">
        <v>300499.14</v>
      </c>
      <c r="U27" s="34">
        <v>24525.93</v>
      </c>
      <c r="V27" s="26">
        <v>8.1617305127728482E-2</v>
      </c>
      <c r="W27" s="34">
        <v>1029.18</v>
      </c>
      <c r="X27" s="26">
        <v>3.424901648636998E-3</v>
      </c>
      <c r="Y27" s="36"/>
      <c r="Z27" s="89">
        <v>375627.80000000022</v>
      </c>
      <c r="AA27" s="89">
        <v>120228.44999999998</v>
      </c>
      <c r="AB27" s="82">
        <f t="shared" si="3"/>
        <v>0.32007335452807251</v>
      </c>
      <c r="AC27" s="89">
        <v>0</v>
      </c>
      <c r="AD27" s="82">
        <f t="shared" si="0"/>
        <v>0</v>
      </c>
      <c r="AE27" s="155" t="str">
        <f t="shared" si="1"/>
        <v>OK</v>
      </c>
      <c r="AF27" t="s">
        <v>342</v>
      </c>
      <c r="AG27" s="218">
        <v>375627.80000000022</v>
      </c>
      <c r="AH27" s="218">
        <v>120228.44999999998</v>
      </c>
      <c r="AI27" s="218">
        <v>0</v>
      </c>
    </row>
    <row r="28" spans="1:35" x14ac:dyDescent="0.35">
      <c r="A28" s="16" t="s">
        <v>178</v>
      </c>
      <c r="B28" s="34">
        <v>4784260.9300000081</v>
      </c>
      <c r="C28" s="34">
        <v>175382.56999999995</v>
      </c>
      <c r="D28" s="26">
        <v>3.6658236782248339E-2</v>
      </c>
      <c r="E28" s="34">
        <v>12398.28</v>
      </c>
      <c r="F28" s="26">
        <v>2.5914723677080004E-3</v>
      </c>
      <c r="G28" s="36"/>
      <c r="H28" s="34">
        <v>5074591.109999992</v>
      </c>
      <c r="I28" s="34">
        <v>208608.04000000004</v>
      </c>
      <c r="J28" s="26">
        <v>4.1108344589363452E-2</v>
      </c>
      <c r="K28" s="34">
        <v>2272.7299999999996</v>
      </c>
      <c r="L28" s="26">
        <v>4.478646556411918E-4</v>
      </c>
      <c r="M28" s="36"/>
      <c r="N28" s="34">
        <v>5283178.0599999949</v>
      </c>
      <c r="O28" s="34">
        <v>322611.50999999989</v>
      </c>
      <c r="P28" s="26">
        <v>6.357389255742428E-2</v>
      </c>
      <c r="Q28" s="34">
        <v>67098.800000000017</v>
      </c>
      <c r="R28" s="26">
        <v>1.3222503753607869E-2</v>
      </c>
      <c r="S28" s="36"/>
      <c r="T28" s="34">
        <v>5102578.8499999931</v>
      </c>
      <c r="U28" s="34">
        <v>489721.0699999996</v>
      </c>
      <c r="V28" s="26">
        <v>9.5975208692757441E-2</v>
      </c>
      <c r="W28" s="34">
        <v>47032.259999999995</v>
      </c>
      <c r="X28" s="26">
        <v>9.2173509479427373E-3</v>
      </c>
      <c r="Y28" s="36"/>
      <c r="Z28" s="89">
        <v>5079375.6999999927</v>
      </c>
      <c r="AA28" s="89">
        <v>441499.83</v>
      </c>
      <c r="AB28" s="82">
        <f t="shared" si="3"/>
        <v>8.6920097286759201E-2</v>
      </c>
      <c r="AC28" s="89">
        <v>88082.12999999999</v>
      </c>
      <c r="AD28" s="82">
        <f t="shared" si="0"/>
        <v>1.7341133084524563E-2</v>
      </c>
      <c r="AE28" s="155" t="str">
        <f t="shared" si="1"/>
        <v>OK</v>
      </c>
      <c r="AF28" t="s">
        <v>178</v>
      </c>
      <c r="AG28" s="218">
        <v>5079375.6999999927</v>
      </c>
      <c r="AH28" s="218">
        <v>441499.83</v>
      </c>
      <c r="AI28" s="218">
        <v>88082.12999999999</v>
      </c>
    </row>
    <row r="29" spans="1:35" x14ac:dyDescent="0.35">
      <c r="A29" s="16" t="s">
        <v>10</v>
      </c>
      <c r="B29" s="34">
        <v>4387691.0799999824</v>
      </c>
      <c r="C29" s="34">
        <v>324377.93</v>
      </c>
      <c r="D29" s="26">
        <v>7.3929072053085673E-2</v>
      </c>
      <c r="E29" s="34">
        <v>13369.850000000002</v>
      </c>
      <c r="F29" s="26">
        <v>3.0471265538594061E-3</v>
      </c>
      <c r="G29" s="36"/>
      <c r="H29" s="34">
        <v>5191228.6200000038</v>
      </c>
      <c r="I29" s="34">
        <v>466740.74000000005</v>
      </c>
      <c r="J29" s="26">
        <v>8.9909494296169082E-2</v>
      </c>
      <c r="K29" s="34">
        <v>13190.84</v>
      </c>
      <c r="L29" s="26">
        <v>2.5409861452027498E-3</v>
      </c>
      <c r="M29" s="36"/>
      <c r="N29" s="34">
        <v>5691959.10999995</v>
      </c>
      <c r="O29" s="34">
        <v>568800.87999999989</v>
      </c>
      <c r="P29" s="26">
        <v>0.10956960704997798</v>
      </c>
      <c r="Q29" s="34">
        <v>19213.07</v>
      </c>
      <c r="R29" s="26">
        <v>3.7010641230437631E-3</v>
      </c>
      <c r="S29" s="36"/>
      <c r="T29" s="34">
        <v>5791445.4199999915</v>
      </c>
      <c r="U29" s="34">
        <v>469497.59000000032</v>
      </c>
      <c r="V29" s="26">
        <v>8.1067428932102586E-2</v>
      </c>
      <c r="W29" s="34">
        <v>12040.04</v>
      </c>
      <c r="X29" s="26">
        <v>2.0789352444592355E-3</v>
      </c>
      <c r="Y29" s="36"/>
      <c r="Z29" s="89">
        <v>5767776.3199999854</v>
      </c>
      <c r="AA29" s="89">
        <v>549680.25000000023</v>
      </c>
      <c r="AB29" s="82">
        <f t="shared" si="3"/>
        <v>9.5301936050113958E-2</v>
      </c>
      <c r="AC29" s="89">
        <v>31335</v>
      </c>
      <c r="AD29" s="82">
        <f t="shared" si="0"/>
        <v>5.4327696258512463E-3</v>
      </c>
      <c r="AE29" s="155" t="str">
        <f t="shared" si="1"/>
        <v>OK</v>
      </c>
      <c r="AF29" t="s">
        <v>10</v>
      </c>
      <c r="AG29" s="218">
        <v>5767776.3199999854</v>
      </c>
      <c r="AH29" s="218">
        <v>549680.25000000023</v>
      </c>
      <c r="AI29" s="218">
        <v>31335</v>
      </c>
    </row>
    <row r="30" spans="1:35" x14ac:dyDescent="0.35">
      <c r="A30" s="16" t="s">
        <v>11</v>
      </c>
      <c r="B30" s="34">
        <v>5071634.979999993</v>
      </c>
      <c r="C30" s="34">
        <v>491970.5500000004</v>
      </c>
      <c r="D30" s="26">
        <v>9.7004329361258773E-2</v>
      </c>
      <c r="E30" s="34">
        <v>125528.70000000001</v>
      </c>
      <c r="F30" s="26">
        <v>2.4751130650179438E-2</v>
      </c>
      <c r="G30" s="36"/>
      <c r="H30" s="34">
        <v>5138595.5299999854</v>
      </c>
      <c r="I30" s="34">
        <v>633303.58999999985</v>
      </c>
      <c r="J30" s="26">
        <v>0.12324449089302066</v>
      </c>
      <c r="K30" s="34">
        <v>59620.5</v>
      </c>
      <c r="L30" s="26">
        <v>1.1602489367362247E-2</v>
      </c>
      <c r="M30" s="36"/>
      <c r="N30" s="34">
        <v>4102392.4499999802</v>
      </c>
      <c r="O30" s="34">
        <v>355240.11999999976</v>
      </c>
      <c r="P30" s="26">
        <v>6.913175359415781E-2</v>
      </c>
      <c r="Q30" s="34">
        <v>30955.920000000002</v>
      </c>
      <c r="R30" s="26">
        <v>6.0241986004296571E-3</v>
      </c>
      <c r="S30" s="36"/>
      <c r="T30" s="34">
        <v>4267418.0499999877</v>
      </c>
      <c r="U30" s="34">
        <v>376419.91999999987</v>
      </c>
      <c r="V30" s="26">
        <v>8.8207884859089661E-2</v>
      </c>
      <c r="W30" s="34">
        <v>4041.9199999999996</v>
      </c>
      <c r="X30" s="26">
        <v>9.4715820026116521E-4</v>
      </c>
      <c r="Y30" s="36"/>
      <c r="Z30" s="89">
        <v>4716708.9699999951</v>
      </c>
      <c r="AA30" s="89">
        <v>322984.75000000006</v>
      </c>
      <c r="AB30" s="82">
        <f t="shared" si="3"/>
        <v>6.8476717994326544E-2</v>
      </c>
      <c r="AC30" s="89">
        <v>19886.879999999997</v>
      </c>
      <c r="AD30" s="82">
        <f t="shared" si="0"/>
        <v>4.2162618313930054E-3</v>
      </c>
      <c r="AE30" s="155" t="str">
        <f t="shared" si="1"/>
        <v>OK</v>
      </c>
      <c r="AF30" t="s">
        <v>11</v>
      </c>
      <c r="AG30" s="218">
        <v>4716708.9699999951</v>
      </c>
      <c r="AH30" s="218">
        <v>322984.75000000006</v>
      </c>
      <c r="AI30" s="218">
        <v>19886.879999999997</v>
      </c>
    </row>
    <row r="31" spans="1:35" x14ac:dyDescent="0.35">
      <c r="A31" s="16" t="s">
        <v>12</v>
      </c>
      <c r="B31" s="34">
        <v>1427818.4100000001</v>
      </c>
      <c r="C31" s="34">
        <v>116776.66000000003</v>
      </c>
      <c r="D31" s="26">
        <v>8.1786772871208474E-2</v>
      </c>
      <c r="E31" s="34">
        <v>3574.73</v>
      </c>
      <c r="F31" s="26">
        <v>2.5036306962872117E-3</v>
      </c>
      <c r="G31" s="36"/>
      <c r="H31" s="34">
        <v>1755548.43</v>
      </c>
      <c r="I31" s="34">
        <v>37948.71</v>
      </c>
      <c r="J31" s="26">
        <v>2.1616441535594662E-2</v>
      </c>
      <c r="K31" s="34">
        <v>4285</v>
      </c>
      <c r="L31" s="26">
        <v>2.4408326918101599E-3</v>
      </c>
      <c r="M31" s="36"/>
      <c r="N31" s="34">
        <v>1777852.1500000022</v>
      </c>
      <c r="O31" s="34">
        <v>114452.07000000002</v>
      </c>
      <c r="P31" s="26">
        <v>6.5194481703931134E-2</v>
      </c>
      <c r="Q31" s="34">
        <v>398.67</v>
      </c>
      <c r="R31" s="26">
        <v>2.2709142806160012E-4</v>
      </c>
      <c r="S31" s="36"/>
      <c r="T31" s="34">
        <v>2621671.1399999904</v>
      </c>
      <c r="U31" s="34">
        <v>160627.90000000008</v>
      </c>
      <c r="V31" s="26">
        <v>6.1269278800544245E-2</v>
      </c>
      <c r="W31" s="34">
        <v>1464.99</v>
      </c>
      <c r="X31" s="26">
        <v>5.5880006368762389E-4</v>
      </c>
      <c r="Y31" s="36"/>
      <c r="Z31" s="89">
        <v>2466616.1399999838</v>
      </c>
      <c r="AA31" s="89">
        <v>190821.19</v>
      </c>
      <c r="AB31" s="82">
        <f t="shared" si="3"/>
        <v>7.7361526548675411E-2</v>
      </c>
      <c r="AC31" s="89">
        <v>19980.68</v>
      </c>
      <c r="AD31" s="82">
        <f t="shared" si="0"/>
        <v>8.1004416033700847E-3</v>
      </c>
      <c r="AE31" s="155" t="str">
        <f t="shared" si="1"/>
        <v>OK</v>
      </c>
      <c r="AF31" t="s">
        <v>12</v>
      </c>
      <c r="AG31" s="218">
        <v>2466616.1399999838</v>
      </c>
      <c r="AH31" s="218">
        <v>190821.19</v>
      </c>
      <c r="AI31" s="218">
        <v>19980.68</v>
      </c>
    </row>
    <row r="32" spans="1:35" x14ac:dyDescent="0.35">
      <c r="A32" s="16" t="s">
        <v>13</v>
      </c>
      <c r="B32" s="34">
        <v>2789468.6099999957</v>
      </c>
      <c r="C32" s="34">
        <v>101081.85000000008</v>
      </c>
      <c r="D32" s="26">
        <v>3.6236955539714871E-2</v>
      </c>
      <c r="E32" s="34">
        <v>3602.8900000000003</v>
      </c>
      <c r="F32" s="26">
        <v>1.2916044249732589E-3</v>
      </c>
      <c r="G32" s="36"/>
      <c r="H32" s="34">
        <v>1734773.8500000013</v>
      </c>
      <c r="I32" s="34">
        <v>110319.79999999996</v>
      </c>
      <c r="J32" s="26">
        <v>6.3593188241798715E-2</v>
      </c>
      <c r="K32" s="34">
        <v>5256.4100000000008</v>
      </c>
      <c r="L32" s="26">
        <v>3.030026075156711E-3</v>
      </c>
      <c r="M32" s="36"/>
      <c r="N32" s="34">
        <v>2284835.6100000008</v>
      </c>
      <c r="O32" s="34">
        <v>146178.76000000004</v>
      </c>
      <c r="P32" s="26">
        <v>8.4263871051549422E-2</v>
      </c>
      <c r="Q32" s="34">
        <v>18075.740000000002</v>
      </c>
      <c r="R32" s="26">
        <v>1.0419652106238509E-2</v>
      </c>
      <c r="S32" s="36"/>
      <c r="T32" s="34">
        <v>2140776.7099999948</v>
      </c>
      <c r="U32" s="34">
        <v>174570.21000000002</v>
      </c>
      <c r="V32" s="26">
        <v>8.1545267745369132E-2</v>
      </c>
      <c r="W32" s="34">
        <v>0</v>
      </c>
      <c r="X32" s="26">
        <v>0</v>
      </c>
      <c r="Y32" s="36"/>
      <c r="Z32" s="89">
        <v>1981882.7299999939</v>
      </c>
      <c r="AA32" s="89">
        <v>132873.71999999997</v>
      </c>
      <c r="AB32" s="82">
        <f t="shared" si="3"/>
        <v>6.7044188835532356E-2</v>
      </c>
      <c r="AC32" s="89">
        <v>0</v>
      </c>
      <c r="AD32" s="82">
        <f t="shared" si="0"/>
        <v>0</v>
      </c>
      <c r="AE32" s="155" t="str">
        <f t="shared" si="1"/>
        <v>OK</v>
      </c>
      <c r="AF32" t="s">
        <v>13</v>
      </c>
      <c r="AG32" s="218">
        <v>1981882.7299999939</v>
      </c>
      <c r="AH32" s="218">
        <v>132873.71999999997</v>
      </c>
      <c r="AI32" s="218">
        <v>0</v>
      </c>
    </row>
    <row r="33" spans="1:35" x14ac:dyDescent="0.35">
      <c r="A33" s="16" t="s">
        <v>343</v>
      </c>
      <c r="B33" s="34">
        <v>67073.19</v>
      </c>
      <c r="C33" s="34">
        <v>0</v>
      </c>
      <c r="D33" s="26">
        <v>0</v>
      </c>
      <c r="E33" s="34">
        <v>0</v>
      </c>
      <c r="F33" s="26">
        <v>0</v>
      </c>
      <c r="G33" s="36"/>
      <c r="H33" s="34">
        <v>135402.54000000004</v>
      </c>
      <c r="I33" s="34">
        <v>4286.08</v>
      </c>
      <c r="J33" s="26">
        <v>3.1654354489952692E-2</v>
      </c>
      <c r="K33" s="34">
        <v>0</v>
      </c>
      <c r="L33" s="26">
        <v>0</v>
      </c>
      <c r="M33" s="36"/>
      <c r="N33" s="34">
        <v>140587.91000000003</v>
      </c>
      <c r="O33" s="34">
        <v>26700.950000000004</v>
      </c>
      <c r="P33" s="26">
        <v>0.1971968177258713</v>
      </c>
      <c r="Q33" s="34">
        <v>0</v>
      </c>
      <c r="R33" s="26">
        <v>0</v>
      </c>
      <c r="S33" s="36"/>
      <c r="T33" s="34">
        <v>171407.76999999996</v>
      </c>
      <c r="U33" s="34">
        <v>15531.829999999996</v>
      </c>
      <c r="V33" s="26">
        <v>9.061333683998106E-2</v>
      </c>
      <c r="W33" s="34">
        <v>326.60000000000002</v>
      </c>
      <c r="X33" s="26">
        <v>1.9053978708199757E-3</v>
      </c>
      <c r="Y33" s="36"/>
      <c r="Z33" s="89">
        <v>101462.62</v>
      </c>
      <c r="AA33" s="89">
        <v>34317.909999999996</v>
      </c>
      <c r="AB33" s="82">
        <f t="shared" si="3"/>
        <v>0.33823205038466381</v>
      </c>
      <c r="AC33" s="89">
        <v>0</v>
      </c>
      <c r="AD33" s="82">
        <f t="shared" si="0"/>
        <v>0</v>
      </c>
      <c r="AE33" s="155" t="str">
        <f t="shared" si="1"/>
        <v>OK</v>
      </c>
      <c r="AF33" t="s">
        <v>343</v>
      </c>
      <c r="AG33" s="218">
        <v>101462.62</v>
      </c>
      <c r="AH33" s="218">
        <v>34317.909999999996</v>
      </c>
      <c r="AI33" s="218">
        <v>0</v>
      </c>
    </row>
    <row r="34" spans="1:35" x14ac:dyDescent="0.35">
      <c r="A34" s="16" t="s">
        <v>14</v>
      </c>
      <c r="B34" s="34">
        <v>3852689.1399999978</v>
      </c>
      <c r="C34" s="34">
        <v>516134.44999999937</v>
      </c>
      <c r="D34" s="26">
        <v>0.13396732288657986</v>
      </c>
      <c r="E34" s="34">
        <v>56014.119999999995</v>
      </c>
      <c r="F34" s="26">
        <v>1.4538966930511302E-2</v>
      </c>
      <c r="G34" s="36"/>
      <c r="H34" s="34">
        <v>4579211.5699999984</v>
      </c>
      <c r="I34" s="34">
        <v>809474.5399999998</v>
      </c>
      <c r="J34" s="26">
        <v>0.17677159651306526</v>
      </c>
      <c r="K34" s="34">
        <v>66522.86</v>
      </c>
      <c r="L34" s="26">
        <v>1.4527142715094079E-2</v>
      </c>
      <c r="M34" s="36"/>
      <c r="N34" s="34">
        <v>4963777.6899999734</v>
      </c>
      <c r="O34" s="34">
        <v>914652.3</v>
      </c>
      <c r="P34" s="26">
        <v>0.1997401268795275</v>
      </c>
      <c r="Q34" s="34">
        <v>44720.78</v>
      </c>
      <c r="R34" s="26">
        <v>9.7660436335768631E-3</v>
      </c>
      <c r="S34" s="36"/>
      <c r="T34" s="34">
        <v>5145029.4100000169</v>
      </c>
      <c r="U34" s="34">
        <v>1070050.1400000001</v>
      </c>
      <c r="V34" s="26">
        <v>0.20797745838346851</v>
      </c>
      <c r="W34" s="34">
        <v>88678.010000000009</v>
      </c>
      <c r="X34" s="26">
        <v>1.7235666297192209E-2</v>
      </c>
      <c r="Y34" s="36"/>
      <c r="Z34" s="89">
        <v>5090587.21</v>
      </c>
      <c r="AA34" s="89">
        <v>472396.82000000018</v>
      </c>
      <c r="AB34" s="82">
        <f t="shared" si="3"/>
        <v>9.2798099809000265E-2</v>
      </c>
      <c r="AC34" s="89">
        <v>62954.510000000009</v>
      </c>
      <c r="AD34" s="82">
        <f t="shared" si="0"/>
        <v>1.2366846378023256E-2</v>
      </c>
      <c r="AE34" s="155" t="str">
        <f t="shared" si="1"/>
        <v>OK</v>
      </c>
      <c r="AF34" t="s">
        <v>14</v>
      </c>
      <c r="AG34" s="218">
        <v>5090587.21</v>
      </c>
      <c r="AH34" s="218">
        <v>472396.82000000018</v>
      </c>
      <c r="AI34" s="218">
        <v>62954.510000000009</v>
      </c>
    </row>
    <row r="35" spans="1:35" x14ac:dyDescent="0.35">
      <c r="A35" s="16" t="s">
        <v>15</v>
      </c>
      <c r="B35" s="34">
        <v>29128210.77000057</v>
      </c>
      <c r="C35" s="34">
        <v>4451623.3199999947</v>
      </c>
      <c r="D35" s="26">
        <v>0.15282858789887518</v>
      </c>
      <c r="E35" s="34">
        <v>382787.03000000009</v>
      </c>
      <c r="F35" s="26">
        <v>1.3141453590216266E-2</v>
      </c>
      <c r="G35" s="36"/>
      <c r="H35" s="34">
        <v>30914716.870000072</v>
      </c>
      <c r="I35" s="34">
        <v>5084097.7699999958</v>
      </c>
      <c r="J35" s="26">
        <v>0.16445558247805436</v>
      </c>
      <c r="K35" s="34">
        <v>526875.91999999993</v>
      </c>
      <c r="L35" s="26">
        <v>1.7042883563047773E-2</v>
      </c>
      <c r="M35" s="36"/>
      <c r="N35" s="34">
        <v>31973698.249999803</v>
      </c>
      <c r="O35" s="34">
        <v>4908231.4599999757</v>
      </c>
      <c r="P35" s="26">
        <v>0.15876682554265825</v>
      </c>
      <c r="Q35" s="34">
        <v>433525.55000000034</v>
      </c>
      <c r="R35" s="26">
        <v>1.4023274152017144E-2</v>
      </c>
      <c r="S35" s="36"/>
      <c r="T35" s="34">
        <v>33895870.509999737</v>
      </c>
      <c r="U35" s="34">
        <v>4701571.8100000033</v>
      </c>
      <c r="V35" s="26">
        <v>0.13870633027739993</v>
      </c>
      <c r="W35" s="34">
        <v>487303.71999999986</v>
      </c>
      <c r="X35" s="26">
        <v>1.4376492259027209E-2</v>
      </c>
      <c r="Y35" s="36"/>
      <c r="Z35" s="89">
        <v>36410093.09999951</v>
      </c>
      <c r="AA35" s="89">
        <v>6342800.0199999949</v>
      </c>
      <c r="AB35" s="82">
        <f t="shared" si="3"/>
        <v>0.17420444387713144</v>
      </c>
      <c r="AC35" s="89">
        <v>783291.40999999992</v>
      </c>
      <c r="AD35" s="82">
        <f t="shared" si="0"/>
        <v>2.1513029583547272E-2</v>
      </c>
      <c r="AE35" s="155" t="str">
        <f t="shared" si="1"/>
        <v>OK</v>
      </c>
      <c r="AF35" t="s">
        <v>15</v>
      </c>
      <c r="AG35" s="218">
        <v>36410093.09999951</v>
      </c>
      <c r="AH35" s="218">
        <v>6342800.0199999949</v>
      </c>
      <c r="AI35" s="218">
        <v>783291.40999999992</v>
      </c>
    </row>
    <row r="36" spans="1:35" x14ac:dyDescent="0.35">
      <c r="A36" s="16" t="s">
        <v>16</v>
      </c>
      <c r="B36" s="34">
        <v>1745790.7099999974</v>
      </c>
      <c r="C36" s="34">
        <v>227496.61</v>
      </c>
      <c r="D36" s="26">
        <v>0.1303115022304136</v>
      </c>
      <c r="E36" s="34">
        <v>47624.59</v>
      </c>
      <c r="F36" s="26">
        <v>2.727966744650627E-2</v>
      </c>
      <c r="G36" s="36"/>
      <c r="H36" s="34">
        <v>1967840.2399999986</v>
      </c>
      <c r="I36" s="34">
        <v>164872.46000000002</v>
      </c>
      <c r="J36" s="26">
        <v>8.3783457949818188E-2</v>
      </c>
      <c r="K36" s="34">
        <v>31173.090000000004</v>
      </c>
      <c r="L36" s="26">
        <v>1.5841270732424917E-2</v>
      </c>
      <c r="M36" s="36"/>
      <c r="N36" s="34">
        <v>1908678.9900000002</v>
      </c>
      <c r="O36" s="34">
        <v>151783.35000000003</v>
      </c>
      <c r="P36" s="26">
        <v>7.7131947459312108E-2</v>
      </c>
      <c r="Q36" s="34">
        <v>9832.7999999999993</v>
      </c>
      <c r="R36" s="26">
        <v>4.9967470936563459E-3</v>
      </c>
      <c r="S36" s="36"/>
      <c r="T36" s="34">
        <v>1980457.3399999929</v>
      </c>
      <c r="U36" s="34">
        <v>596685.30999999982</v>
      </c>
      <c r="V36" s="26">
        <v>0.30128662604769968</v>
      </c>
      <c r="W36" s="34">
        <v>57940.789999999986</v>
      </c>
      <c r="X36" s="26">
        <v>2.9256267645734899E-2</v>
      </c>
      <c r="Y36" s="36"/>
      <c r="Z36" s="89">
        <v>1934824.4400000004</v>
      </c>
      <c r="AA36" s="89">
        <v>607831.55000000051</v>
      </c>
      <c r="AB36" s="82">
        <f t="shared" si="3"/>
        <v>0.31415333475940604</v>
      </c>
      <c r="AC36" s="89">
        <v>86258.76999999999</v>
      </c>
      <c r="AD36" s="82">
        <f t="shared" si="0"/>
        <v>4.4582220596717279E-2</v>
      </c>
      <c r="AE36" s="155" t="str">
        <f t="shared" si="1"/>
        <v>OK</v>
      </c>
      <c r="AF36" t="s">
        <v>16</v>
      </c>
      <c r="AG36" s="218">
        <v>1934824.4400000004</v>
      </c>
      <c r="AH36" s="218">
        <v>607831.55000000051</v>
      </c>
      <c r="AI36" s="218">
        <v>86258.76999999999</v>
      </c>
    </row>
    <row r="37" spans="1:35" x14ac:dyDescent="0.35">
      <c r="A37" s="16" t="s">
        <v>344</v>
      </c>
      <c r="B37" s="34">
        <v>0</v>
      </c>
      <c r="C37" s="34"/>
      <c r="D37" s="26"/>
      <c r="E37" s="34"/>
      <c r="F37" s="26"/>
      <c r="G37" s="36"/>
      <c r="H37" s="34">
        <v>0</v>
      </c>
      <c r="I37" s="34"/>
      <c r="J37" s="26"/>
      <c r="K37" s="34"/>
      <c r="L37" s="26"/>
      <c r="M37" s="36"/>
      <c r="N37" s="34">
        <v>0</v>
      </c>
      <c r="O37" s="34"/>
      <c r="P37" s="26"/>
      <c r="Q37" s="34">
        <v>0</v>
      </c>
      <c r="R37" s="26"/>
      <c r="S37" s="36"/>
      <c r="T37" s="34">
        <v>0</v>
      </c>
      <c r="U37" s="34">
        <v>0</v>
      </c>
      <c r="V37" s="26"/>
      <c r="W37" s="34">
        <v>0</v>
      </c>
      <c r="X37" s="26" t="s">
        <v>395</v>
      </c>
      <c r="Y37" s="36"/>
      <c r="Z37" s="89">
        <v>0</v>
      </c>
      <c r="AA37" s="89">
        <v>0</v>
      </c>
      <c r="AB37" s="82"/>
      <c r="AC37" s="89">
        <v>0</v>
      </c>
      <c r="AD37" s="82" t="str">
        <f t="shared" si="0"/>
        <v/>
      </c>
      <c r="AE37" s="155" t="str">
        <f t="shared" si="1"/>
        <v>OK</v>
      </c>
      <c r="AF37" t="s">
        <v>344</v>
      </c>
      <c r="AG37" s="218">
        <v>0</v>
      </c>
      <c r="AH37" s="218">
        <v>0</v>
      </c>
      <c r="AI37" s="218">
        <v>0</v>
      </c>
    </row>
    <row r="38" spans="1:35" x14ac:dyDescent="0.35">
      <c r="A38" s="16" t="s">
        <v>17</v>
      </c>
      <c r="B38" s="34">
        <v>500</v>
      </c>
      <c r="C38" s="34">
        <v>0</v>
      </c>
      <c r="D38" s="26">
        <v>0</v>
      </c>
      <c r="E38" s="34">
        <v>0</v>
      </c>
      <c r="F38" s="26">
        <v>0</v>
      </c>
      <c r="G38" s="36"/>
      <c r="H38" s="34">
        <v>9486.02</v>
      </c>
      <c r="I38" s="34">
        <v>43.29</v>
      </c>
      <c r="J38" s="26">
        <v>4.5635577407595598E-3</v>
      </c>
      <c r="K38" s="34">
        <v>0</v>
      </c>
      <c r="L38" s="26">
        <v>0</v>
      </c>
      <c r="M38" s="36"/>
      <c r="N38" s="34">
        <v>122246.97</v>
      </c>
      <c r="O38" s="34">
        <v>44023.92</v>
      </c>
      <c r="P38" s="26">
        <v>4.6409263315911202</v>
      </c>
      <c r="Q38" s="34">
        <v>8190.59</v>
      </c>
      <c r="R38" s="26">
        <v>0.86343798558299478</v>
      </c>
      <c r="S38" s="36"/>
      <c r="T38" s="34">
        <v>130771.81999999999</v>
      </c>
      <c r="U38" s="34">
        <v>5444.76</v>
      </c>
      <c r="V38" s="26">
        <v>4.1635575615602813E-2</v>
      </c>
      <c r="W38" s="34">
        <v>5444.76</v>
      </c>
      <c r="X38" s="26">
        <v>4.1635575615602813E-2</v>
      </c>
      <c r="Y38" s="36"/>
      <c r="Z38" s="89">
        <v>162850.49999999997</v>
      </c>
      <c r="AA38" s="89">
        <v>67.290000000000006</v>
      </c>
      <c r="AB38" s="82">
        <f t="shared" ref="AB38:AB44" si="4">AA38/Z38</f>
        <v>4.1320106478027406E-4</v>
      </c>
      <c r="AC38" s="89">
        <v>0</v>
      </c>
      <c r="AD38" s="82">
        <f t="shared" si="0"/>
        <v>0</v>
      </c>
      <c r="AE38" s="155" t="str">
        <f t="shared" si="1"/>
        <v>OK</v>
      </c>
      <c r="AF38" t="s">
        <v>17</v>
      </c>
      <c r="AG38" s="218">
        <v>162850.49999999997</v>
      </c>
      <c r="AH38" s="218">
        <v>67.290000000000006</v>
      </c>
      <c r="AI38" s="218">
        <v>0</v>
      </c>
    </row>
    <row r="39" spans="1:35" x14ac:dyDescent="0.35">
      <c r="A39" s="16" t="s">
        <v>358</v>
      </c>
      <c r="B39" s="34">
        <v>11292870.259999955</v>
      </c>
      <c r="C39" s="34">
        <v>605619.28000000014</v>
      </c>
      <c r="D39" s="26">
        <v>5.362846345141687E-2</v>
      </c>
      <c r="E39" s="34">
        <v>77153.860000000015</v>
      </c>
      <c r="F39" s="26">
        <v>6.8320859288788392E-3</v>
      </c>
      <c r="G39" s="36"/>
      <c r="H39" s="34">
        <v>10448105.669999979</v>
      </c>
      <c r="I39" s="34">
        <v>641031.39000000013</v>
      </c>
      <c r="J39" s="26">
        <v>6.1353838700216878E-2</v>
      </c>
      <c r="K39" s="34">
        <v>63360.570000000007</v>
      </c>
      <c r="L39" s="26">
        <v>6.0643117519312119E-3</v>
      </c>
      <c r="M39" s="36"/>
      <c r="N39" s="34">
        <v>4961190.4899999984</v>
      </c>
      <c r="O39" s="34">
        <v>577417.90000000049</v>
      </c>
      <c r="P39" s="26">
        <v>5.5265319689286947E-2</v>
      </c>
      <c r="Q39" s="34">
        <v>86866.89</v>
      </c>
      <c r="R39" s="26">
        <v>8.3141282011938312E-3</v>
      </c>
      <c r="S39" s="36"/>
      <c r="T39" s="34">
        <v>3428209.9799999986</v>
      </c>
      <c r="U39" s="34">
        <v>380937.99999999994</v>
      </c>
      <c r="V39" s="26">
        <v>0.11111863107055073</v>
      </c>
      <c r="W39" s="34">
        <v>10884.36</v>
      </c>
      <c r="X39" s="26">
        <v>3.1749397100815876E-3</v>
      </c>
      <c r="Y39" s="36"/>
      <c r="Z39" s="89">
        <v>1748473.4699999997</v>
      </c>
      <c r="AA39" s="89">
        <v>454257.04000000033</v>
      </c>
      <c r="AB39" s="82">
        <f t="shared" si="4"/>
        <v>0.25980207752308671</v>
      </c>
      <c r="AC39" s="89">
        <v>294.46000000000004</v>
      </c>
      <c r="AD39" s="82">
        <f t="shared" si="0"/>
        <v>1.6840976145894858E-4</v>
      </c>
      <c r="AE39" s="155" t="str">
        <f t="shared" si="1"/>
        <v>OK</v>
      </c>
      <c r="AF39" t="s">
        <v>358</v>
      </c>
      <c r="AG39" s="218">
        <v>1748473.4699999997</v>
      </c>
      <c r="AH39" s="218">
        <v>454257.04000000033</v>
      </c>
      <c r="AI39" s="218">
        <v>294.46000000000004</v>
      </c>
    </row>
    <row r="40" spans="1:35" x14ac:dyDescent="0.35">
      <c r="A40" s="16" t="s">
        <v>25</v>
      </c>
      <c r="B40" s="34">
        <v>0</v>
      </c>
      <c r="C40" s="34"/>
      <c r="D40" s="26"/>
      <c r="E40" s="34"/>
      <c r="F40" s="26"/>
      <c r="G40" s="36"/>
      <c r="H40" s="34">
        <v>0</v>
      </c>
      <c r="I40" s="34"/>
      <c r="J40" s="26"/>
      <c r="K40" s="34"/>
      <c r="L40" s="26"/>
      <c r="M40" s="36"/>
      <c r="N40" s="34">
        <v>0</v>
      </c>
      <c r="O40" s="34"/>
      <c r="P40" s="26"/>
      <c r="Q40" s="34">
        <v>0</v>
      </c>
      <c r="R40" s="26"/>
      <c r="S40" s="36"/>
      <c r="T40" s="34">
        <v>0</v>
      </c>
      <c r="U40" s="34">
        <v>0</v>
      </c>
      <c r="V40" s="26"/>
      <c r="W40" s="34">
        <v>0</v>
      </c>
      <c r="X40" s="26" t="s">
        <v>395</v>
      </c>
      <c r="Y40" s="36"/>
      <c r="Z40" s="89">
        <v>170279.80000000002</v>
      </c>
      <c r="AA40" s="89">
        <v>170279.80000000005</v>
      </c>
      <c r="AB40" s="82">
        <f t="shared" si="4"/>
        <v>1.0000000000000002</v>
      </c>
      <c r="AC40" s="89">
        <v>170279.80000000005</v>
      </c>
      <c r="AD40" s="82">
        <f t="shared" si="0"/>
        <v>1.0000000000000002</v>
      </c>
      <c r="AE40" s="155" t="str">
        <f t="shared" si="1"/>
        <v>OK</v>
      </c>
      <c r="AF40" t="s">
        <v>25</v>
      </c>
      <c r="AG40" s="218">
        <v>170279.80000000002</v>
      </c>
      <c r="AH40" s="218">
        <v>170279.80000000005</v>
      </c>
      <c r="AI40" s="218">
        <v>170279.80000000005</v>
      </c>
    </row>
    <row r="41" spans="1:35" x14ac:dyDescent="0.35">
      <c r="A41" s="16" t="s">
        <v>18</v>
      </c>
      <c r="B41" s="34">
        <v>363646.53000000014</v>
      </c>
      <c r="C41" s="34">
        <v>13947.730000000001</v>
      </c>
      <c r="D41" s="26">
        <v>3.8355185184910184E-2</v>
      </c>
      <c r="E41" s="34">
        <v>0</v>
      </c>
      <c r="F41" s="26">
        <v>0</v>
      </c>
      <c r="G41" s="36"/>
      <c r="H41" s="34">
        <v>298823.52000000008</v>
      </c>
      <c r="I41" s="34">
        <v>37006.04</v>
      </c>
      <c r="J41" s="26">
        <v>0.12383911413666499</v>
      </c>
      <c r="K41" s="34">
        <v>0</v>
      </c>
      <c r="L41" s="26">
        <v>0</v>
      </c>
      <c r="M41" s="36"/>
      <c r="N41" s="34">
        <v>412728.96999999991</v>
      </c>
      <c r="O41" s="34">
        <v>28145.040000000005</v>
      </c>
      <c r="P41" s="26">
        <v>9.4186160446808193E-2</v>
      </c>
      <c r="Q41" s="34">
        <v>0</v>
      </c>
      <c r="R41" s="26">
        <v>0</v>
      </c>
      <c r="S41" s="36"/>
      <c r="T41" s="34">
        <v>469002.81000000006</v>
      </c>
      <c r="U41" s="34">
        <v>69210.040000000008</v>
      </c>
      <c r="V41" s="26">
        <v>0.14756849751070789</v>
      </c>
      <c r="W41" s="34">
        <v>0</v>
      </c>
      <c r="X41" s="26">
        <v>0</v>
      </c>
      <c r="Y41" s="36"/>
      <c r="Z41" s="89">
        <v>306295.28999999986</v>
      </c>
      <c r="AA41" s="89">
        <v>42807.479999999996</v>
      </c>
      <c r="AB41" s="82">
        <f t="shared" si="4"/>
        <v>0.13975885819204081</v>
      </c>
      <c r="AC41" s="89">
        <v>33119.189999999995</v>
      </c>
      <c r="AD41" s="82">
        <f t="shared" si="0"/>
        <v>0.10812830324619099</v>
      </c>
      <c r="AE41" s="155" t="str">
        <f t="shared" si="1"/>
        <v>OK</v>
      </c>
      <c r="AF41" t="s">
        <v>18</v>
      </c>
      <c r="AG41" s="218">
        <v>306295.28999999986</v>
      </c>
      <c r="AH41" s="218">
        <v>42807.479999999996</v>
      </c>
      <c r="AI41" s="218">
        <v>33119.189999999995</v>
      </c>
    </row>
    <row r="42" spans="1:35" x14ac:dyDescent="0.35">
      <c r="A42" s="16" t="s">
        <v>353</v>
      </c>
      <c r="B42" s="34">
        <v>2855943.9400000069</v>
      </c>
      <c r="C42" s="34">
        <v>367136.92000000027</v>
      </c>
      <c r="D42" s="26">
        <v>0.12855186506216904</v>
      </c>
      <c r="E42" s="34">
        <v>43155.790000000008</v>
      </c>
      <c r="F42" s="26">
        <v>1.5110867337262896E-2</v>
      </c>
      <c r="G42" s="36"/>
      <c r="H42" s="34">
        <v>3169472.7000000039</v>
      </c>
      <c r="I42" s="34">
        <v>314403.7</v>
      </c>
      <c r="J42" s="26">
        <v>9.9197478495397548E-2</v>
      </c>
      <c r="K42" s="34">
        <v>32877.5</v>
      </c>
      <c r="L42" s="26">
        <v>1.0373176585493214E-2</v>
      </c>
      <c r="M42" s="36"/>
      <c r="N42" s="34">
        <v>3542478.1899999753</v>
      </c>
      <c r="O42" s="34">
        <v>718961.35000000044</v>
      </c>
      <c r="P42" s="26">
        <v>0.22683942032376539</v>
      </c>
      <c r="Q42" s="34">
        <v>283857.43000000011</v>
      </c>
      <c r="R42" s="26">
        <v>8.9559828043320827E-2</v>
      </c>
      <c r="S42" s="36"/>
      <c r="T42" s="34">
        <v>3548470.5100000007</v>
      </c>
      <c r="U42" s="34">
        <v>440712.87000000005</v>
      </c>
      <c r="V42" s="26">
        <v>0.12419798016019019</v>
      </c>
      <c r="W42" s="34">
        <v>48821.9</v>
      </c>
      <c r="X42" s="26">
        <v>1.3758575663067858E-2</v>
      </c>
      <c r="Y42" s="36"/>
      <c r="Z42" s="89">
        <v>6025963.1799999774</v>
      </c>
      <c r="AA42" s="89">
        <v>2679273.7299999995</v>
      </c>
      <c r="AB42" s="82">
        <f t="shared" si="4"/>
        <v>0.44462165631752326</v>
      </c>
      <c r="AC42" s="89">
        <v>373840.88000000012</v>
      </c>
      <c r="AD42" s="82">
        <f t="shared" si="0"/>
        <v>6.2038361143786733E-2</v>
      </c>
      <c r="AE42" s="155" t="str">
        <f t="shared" si="1"/>
        <v>OK</v>
      </c>
      <c r="AF42" t="s">
        <v>353</v>
      </c>
      <c r="AG42" s="218">
        <v>6025963.1799999774</v>
      </c>
      <c r="AH42" s="218">
        <v>2679273.7299999995</v>
      </c>
      <c r="AI42" s="218">
        <v>373840.88000000012</v>
      </c>
    </row>
    <row r="43" spans="1:35" x14ac:dyDescent="0.35">
      <c r="A43" s="16" t="s">
        <v>354</v>
      </c>
      <c r="B43" s="34">
        <v>1632715.7500000005</v>
      </c>
      <c r="C43" s="34">
        <v>272407.06999999989</v>
      </c>
      <c r="D43" s="26">
        <v>0.16684292412809751</v>
      </c>
      <c r="E43" s="34">
        <v>32056.890000000003</v>
      </c>
      <c r="F43" s="26">
        <v>1.9634091237253022E-2</v>
      </c>
      <c r="G43" s="36"/>
      <c r="H43" s="34">
        <v>2922426.4799999986</v>
      </c>
      <c r="I43" s="34">
        <v>603389.0900000002</v>
      </c>
      <c r="J43" s="26">
        <v>0.2064685267976358</v>
      </c>
      <c r="K43" s="34">
        <v>37472.729999999996</v>
      </c>
      <c r="L43" s="26">
        <v>1.2822471414233837E-2</v>
      </c>
      <c r="M43" s="36"/>
      <c r="N43" s="34">
        <v>2729376.870000001</v>
      </c>
      <c r="O43" s="34">
        <v>252808.31</v>
      </c>
      <c r="P43" s="26">
        <v>8.6506302803552523E-2</v>
      </c>
      <c r="Q43" s="34">
        <v>12459.540000000005</v>
      </c>
      <c r="R43" s="26">
        <v>4.2634229073916724E-3</v>
      </c>
      <c r="S43" s="36"/>
      <c r="T43" s="34">
        <v>2020647.6899999985</v>
      </c>
      <c r="U43" s="34">
        <v>280803.59000000003</v>
      </c>
      <c r="V43" s="26">
        <v>0.138967119993095</v>
      </c>
      <c r="W43" s="34">
        <v>28491.260000000002</v>
      </c>
      <c r="X43" s="26">
        <v>1.4100063133717299E-2</v>
      </c>
      <c r="Y43" s="36"/>
      <c r="Z43" s="89">
        <v>5800123.0300000068</v>
      </c>
      <c r="AA43" s="89">
        <v>2012269.85</v>
      </c>
      <c r="AB43" s="82">
        <f t="shared" si="4"/>
        <v>0.34693571836182202</v>
      </c>
      <c r="AC43" s="89">
        <v>321376.16999999993</v>
      </c>
      <c r="AD43" s="82">
        <f t="shared" si="0"/>
        <v>5.5408509153641101E-2</v>
      </c>
      <c r="AE43" s="155" t="str">
        <f t="shared" si="1"/>
        <v>OK</v>
      </c>
      <c r="AF43" t="s">
        <v>354</v>
      </c>
      <c r="AG43" s="218">
        <v>5800123.0300000068</v>
      </c>
      <c r="AH43" s="218">
        <v>2012269.85</v>
      </c>
      <c r="AI43" s="218">
        <v>321376.16999999993</v>
      </c>
    </row>
    <row r="44" spans="1:35" x14ac:dyDescent="0.35">
      <c r="A44" s="16" t="s">
        <v>409</v>
      </c>
      <c r="B44" s="34">
        <v>2866236.1600000039</v>
      </c>
      <c r="C44" s="34">
        <v>662940.2799999998</v>
      </c>
      <c r="D44" s="26">
        <v>0.23129297203479524</v>
      </c>
      <c r="E44" s="34">
        <v>24022.81</v>
      </c>
      <c r="F44" s="26">
        <v>8.3813086776492168E-3</v>
      </c>
      <c r="G44" s="36"/>
      <c r="H44" s="34">
        <v>2937673.9099999955</v>
      </c>
      <c r="I44" s="34">
        <v>480799.42999999976</v>
      </c>
      <c r="J44" s="26">
        <v>0.16366671207560968</v>
      </c>
      <c r="K44" s="34">
        <v>45416.829999999987</v>
      </c>
      <c r="L44" s="26">
        <v>1.5460133218121563E-2</v>
      </c>
      <c r="M44" s="36"/>
      <c r="N44" s="34">
        <v>2519550.939999992</v>
      </c>
      <c r="O44" s="34">
        <v>257048.71</v>
      </c>
      <c r="P44" s="26">
        <v>8.7500763486714012E-2</v>
      </c>
      <c r="Q44" s="34">
        <v>18442.330000000002</v>
      </c>
      <c r="R44" s="26">
        <v>6.2778683288234769E-3</v>
      </c>
      <c r="S44" s="36"/>
      <c r="T44" s="34">
        <v>2460784.8099999959</v>
      </c>
      <c r="U44" s="34">
        <v>455570.75999999972</v>
      </c>
      <c r="V44" s="26">
        <v>0.18513230338088785</v>
      </c>
      <c r="W44" s="34">
        <v>34477.43</v>
      </c>
      <c r="X44" s="26">
        <v>1.4010745620621764E-2</v>
      </c>
      <c r="Y44" s="36"/>
      <c r="Z44" s="89">
        <v>2178320.979999993</v>
      </c>
      <c r="AA44" s="89">
        <v>369989.7799999998</v>
      </c>
      <c r="AB44" s="82">
        <f t="shared" si="4"/>
        <v>0.1698509004857498</v>
      </c>
      <c r="AC44" s="89">
        <v>57444.030000000006</v>
      </c>
      <c r="AD44" s="82">
        <f t="shared" si="0"/>
        <v>2.6370783060630575E-2</v>
      </c>
      <c r="AE44" s="155" t="str">
        <f t="shared" si="1"/>
        <v>OK</v>
      </c>
      <c r="AF44" t="s">
        <v>409</v>
      </c>
      <c r="AG44" s="218">
        <v>2178320.979999993</v>
      </c>
      <c r="AH44" s="218">
        <v>369989.7799999998</v>
      </c>
      <c r="AI44" s="218">
        <v>57444.030000000006</v>
      </c>
    </row>
    <row r="45" spans="1:35" x14ac:dyDescent="0.35">
      <c r="A45" s="16" t="s">
        <v>28</v>
      </c>
      <c r="B45" s="34">
        <v>0</v>
      </c>
      <c r="C45" s="34"/>
      <c r="D45" s="26"/>
      <c r="E45" s="34"/>
      <c r="F45" s="26"/>
      <c r="G45" s="36"/>
      <c r="H45" s="34">
        <v>0</v>
      </c>
      <c r="I45" s="34"/>
      <c r="J45" s="26"/>
      <c r="K45" s="34"/>
      <c r="L45" s="26"/>
      <c r="M45" s="36"/>
      <c r="N45" s="34">
        <v>0</v>
      </c>
      <c r="O45" s="34"/>
      <c r="P45" s="26"/>
      <c r="Q45" s="34">
        <v>0</v>
      </c>
      <c r="R45" s="26"/>
      <c r="S45" s="36"/>
      <c r="T45" s="34">
        <v>0</v>
      </c>
      <c r="U45" s="34">
        <v>0</v>
      </c>
      <c r="V45" s="26"/>
      <c r="W45" s="34">
        <v>0</v>
      </c>
      <c r="X45" s="26" t="s">
        <v>395</v>
      </c>
      <c r="Y45" s="36"/>
      <c r="Z45" s="89">
        <v>0</v>
      </c>
      <c r="AA45" s="89">
        <v>0</v>
      </c>
      <c r="AB45" s="82"/>
      <c r="AC45" s="89">
        <v>0</v>
      </c>
      <c r="AD45" s="82" t="str">
        <f t="shared" si="0"/>
        <v/>
      </c>
      <c r="AE45" s="155" t="str">
        <f t="shared" si="1"/>
        <v>OK</v>
      </c>
      <c r="AF45" t="s">
        <v>28</v>
      </c>
      <c r="AG45" s="218">
        <v>0</v>
      </c>
      <c r="AH45" s="218">
        <v>0</v>
      </c>
      <c r="AI45" s="218">
        <v>0</v>
      </c>
    </row>
    <row r="46" spans="1:35" x14ac:dyDescent="0.35">
      <c r="A46" s="16" t="s">
        <v>29</v>
      </c>
      <c r="B46" s="34">
        <v>0</v>
      </c>
      <c r="C46" s="34"/>
      <c r="D46" s="26"/>
      <c r="E46" s="34"/>
      <c r="F46" s="26"/>
      <c r="G46" s="36"/>
      <c r="H46" s="34">
        <v>0</v>
      </c>
      <c r="I46" s="34"/>
      <c r="J46" s="26"/>
      <c r="K46" s="34"/>
      <c r="L46" s="26"/>
      <c r="M46" s="36"/>
      <c r="N46" s="34">
        <v>0</v>
      </c>
      <c r="O46" s="34"/>
      <c r="P46" s="26"/>
      <c r="Q46" s="34">
        <v>0</v>
      </c>
      <c r="R46" s="26"/>
      <c r="S46" s="36"/>
      <c r="T46" s="34">
        <v>0</v>
      </c>
      <c r="U46" s="34">
        <v>0</v>
      </c>
      <c r="V46" s="26"/>
      <c r="W46" s="34">
        <v>0</v>
      </c>
      <c r="X46" s="26" t="s">
        <v>395</v>
      </c>
      <c r="Y46" s="36"/>
      <c r="Z46" s="89">
        <v>0</v>
      </c>
      <c r="AA46" s="89">
        <v>0</v>
      </c>
      <c r="AB46" s="82"/>
      <c r="AC46" s="89">
        <v>0</v>
      </c>
      <c r="AD46" s="82" t="str">
        <f t="shared" si="0"/>
        <v/>
      </c>
      <c r="AE46" s="155" t="str">
        <f t="shared" si="1"/>
        <v>OK</v>
      </c>
      <c r="AF46" t="s">
        <v>29</v>
      </c>
      <c r="AG46" s="218">
        <v>0</v>
      </c>
      <c r="AH46" s="218">
        <v>0</v>
      </c>
      <c r="AI46" s="218">
        <v>0</v>
      </c>
    </row>
    <row r="47" spans="1:35" x14ac:dyDescent="0.35">
      <c r="A47" s="16" t="s">
        <v>359</v>
      </c>
      <c r="B47" s="34">
        <v>308006.76</v>
      </c>
      <c r="C47" s="34">
        <v>41006.01999999999</v>
      </c>
      <c r="D47" s="26">
        <v>0.13313350655031075</v>
      </c>
      <c r="E47" s="34">
        <v>779.95</v>
      </c>
      <c r="F47" s="26">
        <v>2.5322496168590585E-3</v>
      </c>
      <c r="G47" s="36"/>
      <c r="H47" s="34">
        <v>82082.85000000002</v>
      </c>
      <c r="I47" s="34">
        <v>3300.4900000000002</v>
      </c>
      <c r="J47" s="26">
        <v>4.020925199356503E-2</v>
      </c>
      <c r="K47" s="34">
        <v>0</v>
      </c>
      <c r="L47" s="26">
        <v>0</v>
      </c>
      <c r="M47" s="36"/>
      <c r="N47" s="34">
        <v>58661.789999999928</v>
      </c>
      <c r="O47" s="34">
        <v>1893.58</v>
      </c>
      <c r="P47" s="26">
        <v>2.3069130762394332E-2</v>
      </c>
      <c r="Q47" s="34">
        <v>0</v>
      </c>
      <c r="R47" s="26">
        <v>0</v>
      </c>
      <c r="S47" s="36"/>
      <c r="T47" s="34">
        <v>43222.240000000013</v>
      </c>
      <c r="U47" s="34">
        <v>3415.42</v>
      </c>
      <c r="V47" s="26">
        <v>7.9019967498213856E-2</v>
      </c>
      <c r="W47" s="34">
        <v>0</v>
      </c>
      <c r="X47" s="26">
        <v>0</v>
      </c>
      <c r="Y47" s="36"/>
      <c r="Z47" s="89">
        <v>62194.649999999965</v>
      </c>
      <c r="AA47" s="89">
        <v>4069.1699999999996</v>
      </c>
      <c r="AB47" s="82">
        <f>AA47/Z47</f>
        <v>6.5426367058903007E-2</v>
      </c>
      <c r="AC47" s="89">
        <v>0</v>
      </c>
      <c r="AD47" s="82">
        <f t="shared" si="0"/>
        <v>0</v>
      </c>
      <c r="AE47" s="155" t="str">
        <f t="shared" si="1"/>
        <v>OK</v>
      </c>
      <c r="AF47" t="s">
        <v>359</v>
      </c>
      <c r="AG47" s="218">
        <v>62194.649999999965</v>
      </c>
      <c r="AH47" s="218">
        <v>4069.1699999999996</v>
      </c>
      <c r="AI47" s="218">
        <v>0</v>
      </c>
    </row>
    <row r="48" spans="1:35" x14ac:dyDescent="0.35">
      <c r="A48" s="16" t="s">
        <v>30</v>
      </c>
      <c r="B48" s="34">
        <v>0</v>
      </c>
      <c r="C48" s="34">
        <v>0</v>
      </c>
      <c r="D48" s="26"/>
      <c r="E48" s="34"/>
      <c r="F48" s="26"/>
      <c r="G48" s="36"/>
      <c r="H48" s="34">
        <v>0</v>
      </c>
      <c r="I48" s="34"/>
      <c r="J48" s="26"/>
      <c r="K48" s="34"/>
      <c r="L48" s="26"/>
      <c r="M48" s="36"/>
      <c r="N48" s="34">
        <v>0</v>
      </c>
      <c r="O48" s="34">
        <v>0</v>
      </c>
      <c r="P48" s="26"/>
      <c r="Q48" s="34">
        <v>0</v>
      </c>
      <c r="R48" s="26"/>
      <c r="S48" s="36"/>
      <c r="T48" s="34">
        <v>0</v>
      </c>
      <c r="U48" s="34">
        <v>0</v>
      </c>
      <c r="V48" s="26"/>
      <c r="W48" s="34">
        <v>0</v>
      </c>
      <c r="X48" s="26" t="s">
        <v>395</v>
      </c>
      <c r="Y48" s="36"/>
      <c r="Z48" s="89">
        <v>0</v>
      </c>
      <c r="AA48" s="89">
        <v>0</v>
      </c>
      <c r="AB48" s="82"/>
      <c r="AC48" s="89">
        <v>0</v>
      </c>
      <c r="AD48" s="82" t="str">
        <f t="shared" si="0"/>
        <v/>
      </c>
      <c r="AE48" s="155" t="str">
        <f t="shared" si="1"/>
        <v>OK</v>
      </c>
      <c r="AF48" t="s">
        <v>30</v>
      </c>
      <c r="AG48" s="218">
        <v>0</v>
      </c>
      <c r="AH48" s="218">
        <v>0</v>
      </c>
      <c r="AI48" s="218">
        <v>0</v>
      </c>
    </row>
    <row r="49" spans="1:35" x14ac:dyDescent="0.35">
      <c r="A49" s="16" t="s">
        <v>31</v>
      </c>
      <c r="B49" s="34">
        <v>0</v>
      </c>
      <c r="C49" s="34">
        <v>0</v>
      </c>
      <c r="D49" s="26"/>
      <c r="E49" s="34"/>
      <c r="F49" s="26"/>
      <c r="G49" s="36"/>
      <c r="H49" s="34">
        <v>0</v>
      </c>
      <c r="I49" s="34"/>
      <c r="J49" s="26"/>
      <c r="K49" s="34"/>
      <c r="L49" s="26"/>
      <c r="M49" s="36"/>
      <c r="N49" s="34">
        <v>0</v>
      </c>
      <c r="O49" s="34">
        <v>0</v>
      </c>
      <c r="P49" s="26"/>
      <c r="Q49" s="34">
        <v>0</v>
      </c>
      <c r="R49" s="26"/>
      <c r="S49" s="36"/>
      <c r="T49" s="34">
        <v>0</v>
      </c>
      <c r="U49" s="34">
        <v>0</v>
      </c>
      <c r="V49" s="26"/>
      <c r="W49" s="34">
        <v>0</v>
      </c>
      <c r="X49" s="26" t="s">
        <v>395</v>
      </c>
      <c r="Y49" s="36"/>
      <c r="Z49" s="89">
        <v>1047499.3399999994</v>
      </c>
      <c r="AA49" s="89">
        <v>135558.08000000005</v>
      </c>
      <c r="AB49" s="82">
        <f>AA49/Z49</f>
        <v>0.12941113643088323</v>
      </c>
      <c r="AC49" s="89">
        <v>0</v>
      </c>
      <c r="AD49" s="82">
        <f t="shared" si="0"/>
        <v>0</v>
      </c>
      <c r="AE49" s="155" t="str">
        <f t="shared" si="1"/>
        <v>OK</v>
      </c>
      <c r="AF49" t="s">
        <v>31</v>
      </c>
      <c r="AG49" s="218">
        <v>1047499.3399999994</v>
      </c>
      <c r="AH49" s="218">
        <v>135558.08000000005</v>
      </c>
      <c r="AI49" s="218">
        <v>0</v>
      </c>
    </row>
    <row r="50" spans="1:35" x14ac:dyDescent="0.35">
      <c r="A50" s="16" t="s">
        <v>32</v>
      </c>
      <c r="B50" s="34">
        <v>160293.47999999998</v>
      </c>
      <c r="C50" s="34">
        <v>28077.470000000005</v>
      </c>
      <c r="D50" s="26">
        <v>0.17516289495991982</v>
      </c>
      <c r="E50" s="34">
        <v>0</v>
      </c>
      <c r="F50" s="26">
        <v>0</v>
      </c>
      <c r="G50" s="36"/>
      <c r="H50" s="34">
        <v>146896.83000000007</v>
      </c>
      <c r="I50" s="34">
        <v>1463.2299999999998</v>
      </c>
      <c r="J50" s="26">
        <v>9.9609365293995729E-3</v>
      </c>
      <c r="K50" s="34">
        <v>1463.2299999999998</v>
      </c>
      <c r="L50" s="26">
        <v>9.9609365293995729E-3</v>
      </c>
      <c r="M50" s="36"/>
      <c r="N50" s="34">
        <v>47258.599999999991</v>
      </c>
      <c r="O50" s="34">
        <v>1179.74</v>
      </c>
      <c r="P50" s="26">
        <v>8.0310786829096269E-3</v>
      </c>
      <c r="Q50" s="34">
        <v>0</v>
      </c>
      <c r="R50" s="26">
        <v>0</v>
      </c>
      <c r="S50" s="36"/>
      <c r="T50" s="34">
        <v>92066.200000000012</v>
      </c>
      <c r="U50" s="34">
        <v>947.68999999999994</v>
      </c>
      <c r="V50" s="26">
        <v>1.0293571364952608E-2</v>
      </c>
      <c r="W50" s="34">
        <v>118.78</v>
      </c>
      <c r="X50" s="26">
        <v>1.2901586032659108E-3</v>
      </c>
      <c r="Y50" s="36"/>
      <c r="Z50" s="89">
        <v>77060.499999999985</v>
      </c>
      <c r="AA50" s="89">
        <v>0</v>
      </c>
      <c r="AB50" s="82">
        <f>AA50/Z50</f>
        <v>0</v>
      </c>
      <c r="AC50" s="89">
        <v>0</v>
      </c>
      <c r="AD50" s="82">
        <f t="shared" si="0"/>
        <v>0</v>
      </c>
      <c r="AE50" s="155" t="str">
        <f t="shared" si="1"/>
        <v>OK</v>
      </c>
      <c r="AF50" t="s">
        <v>32</v>
      </c>
      <c r="AG50" s="218">
        <v>77060.499999999985</v>
      </c>
      <c r="AH50" s="218">
        <v>0</v>
      </c>
      <c r="AI50" s="218">
        <v>0</v>
      </c>
    </row>
    <row r="51" spans="1:35" x14ac:dyDescent="0.35">
      <c r="A51" s="16" t="s">
        <v>33</v>
      </c>
      <c r="B51" s="34">
        <v>27970.400000000001</v>
      </c>
      <c r="C51" s="34">
        <v>1126.9000000000001</v>
      </c>
      <c r="D51" s="26">
        <v>4.0289019820953578E-2</v>
      </c>
      <c r="E51" s="34">
        <v>300</v>
      </c>
      <c r="F51" s="26">
        <v>1.0725624231330264E-2</v>
      </c>
      <c r="G51" s="36"/>
      <c r="H51" s="34">
        <v>34646.640000000007</v>
      </c>
      <c r="I51" s="34">
        <v>6045.93</v>
      </c>
      <c r="J51" s="26">
        <v>0.17450263575342367</v>
      </c>
      <c r="K51" s="34">
        <v>1608.4699999999996</v>
      </c>
      <c r="L51" s="26">
        <v>4.6424992437939128E-2</v>
      </c>
      <c r="M51" s="36"/>
      <c r="N51" s="34">
        <v>44032.240000000013</v>
      </c>
      <c r="O51" s="34">
        <v>2892.61</v>
      </c>
      <c r="P51" s="26">
        <v>8.348890397452681E-2</v>
      </c>
      <c r="Q51" s="34">
        <v>0</v>
      </c>
      <c r="R51" s="26">
        <v>0</v>
      </c>
      <c r="S51" s="36"/>
      <c r="T51" s="34">
        <v>143007.31000000011</v>
      </c>
      <c r="U51" s="34">
        <v>18705.289999999997</v>
      </c>
      <c r="V51" s="26">
        <v>0.13079953745021833</v>
      </c>
      <c r="W51" s="34">
        <v>365.35</v>
      </c>
      <c r="X51" s="26">
        <v>2.5547645081919219E-3</v>
      </c>
      <c r="Y51" s="36"/>
      <c r="Z51" s="89">
        <v>64168.829999999987</v>
      </c>
      <c r="AA51" s="89">
        <v>3363.4900000000002</v>
      </c>
      <c r="AB51" s="82">
        <f>AA51/Z51</f>
        <v>5.2416258797300823E-2</v>
      </c>
      <c r="AC51" s="89">
        <v>1883.9400000000003</v>
      </c>
      <c r="AD51" s="82">
        <f t="shared" si="0"/>
        <v>2.9359114074543679E-2</v>
      </c>
      <c r="AE51" s="155" t="str">
        <f t="shared" si="1"/>
        <v>OK</v>
      </c>
      <c r="AF51" t="s">
        <v>33</v>
      </c>
      <c r="AG51" s="218">
        <v>64168.829999999987</v>
      </c>
      <c r="AH51" s="218">
        <v>3363.4900000000002</v>
      </c>
      <c r="AI51" s="218">
        <v>1883.9400000000003</v>
      </c>
    </row>
    <row r="52" spans="1:35" x14ac:dyDescent="0.35">
      <c r="A52" s="16"/>
      <c r="B52" s="16"/>
      <c r="C52" s="16"/>
      <c r="D52" s="33"/>
      <c r="E52" s="16"/>
      <c r="F52" s="33"/>
      <c r="G52" s="94"/>
      <c r="H52" s="16"/>
      <c r="I52" s="16"/>
      <c r="J52" s="33"/>
      <c r="K52" s="16"/>
      <c r="L52" s="33"/>
      <c r="M52" s="94"/>
      <c r="N52" s="16"/>
      <c r="O52" s="16"/>
      <c r="P52" s="33"/>
      <c r="Q52" s="16"/>
      <c r="R52" s="33"/>
      <c r="S52" s="94"/>
      <c r="T52" s="16"/>
      <c r="U52" s="16"/>
      <c r="V52" s="33"/>
      <c r="W52" s="16"/>
      <c r="X52" s="33"/>
      <c r="Y52" s="94"/>
      <c r="Z52" s="90"/>
      <c r="AA52" s="90"/>
      <c r="AB52" s="217"/>
      <c r="AC52" s="90"/>
      <c r="AD52" s="217"/>
    </row>
    <row r="53" spans="1:35" ht="15" thickBot="1" x14ac:dyDescent="0.4">
      <c r="A53" s="25" t="s">
        <v>113</v>
      </c>
      <c r="B53" s="35">
        <v>405907915.29000252</v>
      </c>
      <c r="C53" s="35">
        <v>48900089.819999948</v>
      </c>
      <c r="D53" s="27">
        <v>0.12047089494439418</v>
      </c>
      <c r="E53" s="35">
        <v>4579205.7</v>
      </c>
      <c r="F53" s="27">
        <v>1.1281390501410568E-2</v>
      </c>
      <c r="G53" s="95"/>
      <c r="H53" s="35">
        <v>425895805.77000207</v>
      </c>
      <c r="I53" s="35">
        <v>51833300.570000038</v>
      </c>
      <c r="J53" s="27">
        <v>0.12170418179227561</v>
      </c>
      <c r="K53" s="35">
        <v>4670540.7900000038</v>
      </c>
      <c r="L53" s="27">
        <v>1.0966393016141256E-2</v>
      </c>
      <c r="M53" s="95"/>
      <c r="N53" s="35">
        <v>439950756.84000009</v>
      </c>
      <c r="O53" s="35">
        <v>55523517.199999765</v>
      </c>
      <c r="P53" s="27">
        <v>0.13036878139622796</v>
      </c>
      <c r="Q53" s="35">
        <v>5645968.1400000015</v>
      </c>
      <c r="R53" s="27">
        <v>1.3256688756989104E-2</v>
      </c>
      <c r="S53" s="95"/>
      <c r="T53" s="35">
        <v>453915049.67000097</v>
      </c>
      <c r="U53" s="35">
        <v>54654876.269999996</v>
      </c>
      <c r="V53" s="27">
        <v>0.12040772014440682</v>
      </c>
      <c r="W53" s="35">
        <v>5028263.4099999983</v>
      </c>
      <c r="X53" s="27">
        <v>1.1077542843436402E-2</v>
      </c>
      <c r="Y53" s="95"/>
      <c r="Z53" s="88">
        <f>SUM(Z6:Z52)</f>
        <v>486883161.34999388</v>
      </c>
      <c r="AA53" s="88">
        <f>SUM(AA6:AA52)</f>
        <v>71068150.199999705</v>
      </c>
      <c r="AB53" s="83">
        <f>AA53/Z53</f>
        <v>0.14596551255325232</v>
      </c>
      <c r="AC53" s="88">
        <f>SUM(AC6:AC52)</f>
        <v>17424347.749999974</v>
      </c>
      <c r="AD53" s="83">
        <f>AC53/Z53</f>
        <v>3.5787534121506731E-2</v>
      </c>
      <c r="AF53" t="s">
        <v>390</v>
      </c>
      <c r="AG53" s="218">
        <v>486883161.34999388</v>
      </c>
      <c r="AH53" s="218">
        <v>71068150.199999705</v>
      </c>
      <c r="AI53" s="218">
        <v>17424347.749999974</v>
      </c>
    </row>
    <row r="54" spans="1:35" ht="15" thickTop="1" x14ac:dyDescent="0.35"/>
  </sheetData>
  <sortState ref="A6:AD51">
    <sortCondition ref="A6"/>
  </sortState>
  <mergeCells count="13">
    <mergeCell ref="W3:X3"/>
    <mergeCell ref="AG4:AG5"/>
    <mergeCell ref="AH4:AH5"/>
    <mergeCell ref="AI4:AI5"/>
    <mergeCell ref="C3:D3"/>
    <mergeCell ref="E3:F3"/>
    <mergeCell ref="I3:J3"/>
    <mergeCell ref="K3:L3"/>
    <mergeCell ref="O3:P3"/>
    <mergeCell ref="Q3:R3"/>
    <mergeCell ref="AA3:AB3"/>
    <mergeCell ref="AC3:AD3"/>
    <mergeCell ref="U3:V3"/>
  </mergeCells>
  <pageMargins left="0.7" right="0.7" top="0.75" bottom="0.75" header="0.3" footer="0.3"/>
  <pageSetup orientation="portrait"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U54"/>
  <sheetViews>
    <sheetView workbookViewId="0">
      <pane xSplit="1" ySplit="5" topLeftCell="L48" activePane="bottomRight" state="frozen"/>
      <selection activeCell="D5" sqref="D5:E5"/>
      <selection pane="topRight" activeCell="D5" sqref="D5:E5"/>
      <selection pane="bottomLeft" activeCell="D5" sqref="D5:E5"/>
      <selection pane="bottomRight" activeCell="D5" sqref="D5:E5"/>
    </sheetView>
  </sheetViews>
  <sheetFormatPr defaultRowHeight="14.5" x14ac:dyDescent="0.35"/>
  <cols>
    <col min="1" max="1" width="49.26953125" bestFit="1" customWidth="1"/>
    <col min="17" max="17" width="8.7265625" style="155"/>
    <col min="18" max="18" width="27.90625" customWidth="1"/>
    <col min="21" max="21" width="8.7265625" style="308"/>
  </cols>
  <sheetData>
    <row r="1" spans="1:21" x14ac:dyDescent="0.35">
      <c r="A1" s="29">
        <v>1</v>
      </c>
      <c r="B1" s="29">
        <v>2</v>
      </c>
      <c r="C1" s="29">
        <v>3</v>
      </c>
      <c r="D1" s="29">
        <v>4</v>
      </c>
      <c r="E1" s="29">
        <v>5</v>
      </c>
      <c r="F1" s="29">
        <v>6</v>
      </c>
      <c r="G1" s="29">
        <v>7</v>
      </c>
      <c r="H1" s="29">
        <v>8</v>
      </c>
      <c r="I1" s="29">
        <v>9</v>
      </c>
      <c r="J1" s="29">
        <v>10</v>
      </c>
      <c r="K1" s="29">
        <v>11</v>
      </c>
      <c r="L1" s="29">
        <v>12</v>
      </c>
      <c r="M1" s="29">
        <v>13</v>
      </c>
      <c r="N1" s="29">
        <v>14</v>
      </c>
      <c r="O1" s="29">
        <v>15</v>
      </c>
      <c r="P1" s="29">
        <v>16</v>
      </c>
    </row>
    <row r="2" spans="1:21" x14ac:dyDescent="0.35">
      <c r="B2" s="55"/>
      <c r="C2" s="55"/>
      <c r="D2" s="55"/>
      <c r="E2" s="55"/>
      <c r="F2" s="55"/>
      <c r="G2" s="55"/>
      <c r="H2" s="55"/>
      <c r="I2" s="55"/>
      <c r="J2" s="55"/>
      <c r="K2" s="55"/>
      <c r="L2" s="55"/>
      <c r="M2" s="55"/>
      <c r="N2" s="55"/>
      <c r="O2" s="55"/>
      <c r="P2" s="55"/>
    </row>
    <row r="3" spans="1:21" x14ac:dyDescent="0.35">
      <c r="B3" s="56"/>
      <c r="C3" s="56"/>
      <c r="D3" s="57"/>
      <c r="E3" s="56"/>
      <c r="F3" s="56"/>
      <c r="G3" s="57"/>
      <c r="H3" s="56"/>
      <c r="I3" s="56"/>
      <c r="J3" s="57"/>
      <c r="K3" s="56"/>
      <c r="L3" s="56"/>
      <c r="M3" s="57"/>
      <c r="N3" s="56"/>
      <c r="O3" s="56"/>
      <c r="P3" s="57"/>
    </row>
    <row r="4" spans="1:21" ht="31.5" customHeight="1" x14ac:dyDescent="0.35">
      <c r="B4" s="42">
        <v>2017</v>
      </c>
      <c r="C4" s="42">
        <v>2017</v>
      </c>
      <c r="D4" s="42">
        <v>2017</v>
      </c>
      <c r="E4" s="42">
        <v>2018</v>
      </c>
      <c r="F4" s="42">
        <v>2018</v>
      </c>
      <c r="G4" s="42">
        <v>2018</v>
      </c>
      <c r="H4" s="42">
        <v>2019</v>
      </c>
      <c r="I4" s="42">
        <v>2019</v>
      </c>
      <c r="J4" s="42">
        <v>2019</v>
      </c>
      <c r="K4" s="42">
        <v>2020</v>
      </c>
      <c r="L4" s="42">
        <v>2020</v>
      </c>
      <c r="M4" s="42">
        <v>2020</v>
      </c>
      <c r="N4" s="42">
        <v>2021</v>
      </c>
      <c r="O4" s="42">
        <v>2021</v>
      </c>
      <c r="P4" s="42">
        <v>2021</v>
      </c>
    </row>
    <row r="5" spans="1:21" ht="29" x14ac:dyDescent="0.35">
      <c r="A5" s="39" t="s">
        <v>36</v>
      </c>
      <c r="B5" s="104" t="s">
        <v>172</v>
      </c>
      <c r="C5" s="104" t="s">
        <v>173</v>
      </c>
      <c r="D5" s="104" t="s">
        <v>174</v>
      </c>
      <c r="E5" s="104" t="s">
        <v>172</v>
      </c>
      <c r="F5" s="104" t="s">
        <v>173</v>
      </c>
      <c r="G5" s="104" t="s">
        <v>174</v>
      </c>
      <c r="H5" s="104" t="s">
        <v>172</v>
      </c>
      <c r="I5" s="104" t="s">
        <v>173</v>
      </c>
      <c r="J5" s="104" t="s">
        <v>174</v>
      </c>
      <c r="K5" s="104" t="s">
        <v>172</v>
      </c>
      <c r="L5" s="104" t="s">
        <v>173</v>
      </c>
      <c r="M5" s="104" t="s">
        <v>174</v>
      </c>
      <c r="N5" s="104" t="s">
        <v>172</v>
      </c>
      <c r="O5" s="104" t="s">
        <v>173</v>
      </c>
      <c r="P5" s="104" t="s">
        <v>174</v>
      </c>
      <c r="S5" s="341" t="s">
        <v>172</v>
      </c>
      <c r="T5" s="341" t="s">
        <v>173</v>
      </c>
      <c r="U5" s="224" t="s">
        <v>43</v>
      </c>
    </row>
    <row r="6" spans="1:21" x14ac:dyDescent="0.35">
      <c r="A6" s="16" t="s">
        <v>345</v>
      </c>
      <c r="B6" s="32">
        <v>34</v>
      </c>
      <c r="C6" s="32">
        <v>16</v>
      </c>
      <c r="D6" s="26">
        <v>0.47058823529411764</v>
      </c>
      <c r="E6" s="32">
        <v>30</v>
      </c>
      <c r="F6" s="32">
        <v>22</v>
      </c>
      <c r="G6" s="26">
        <v>0.73333333333333328</v>
      </c>
      <c r="H6" s="32">
        <v>27</v>
      </c>
      <c r="I6" s="32">
        <v>20</v>
      </c>
      <c r="J6" s="26">
        <v>0.7407407407407407</v>
      </c>
      <c r="K6" s="32">
        <v>19</v>
      </c>
      <c r="L6" s="32">
        <v>12</v>
      </c>
      <c r="M6" s="26">
        <v>0.63157894736842102</v>
      </c>
      <c r="N6" s="97">
        <v>11</v>
      </c>
      <c r="O6" s="97">
        <v>7</v>
      </c>
      <c r="P6" s="82">
        <f>O6/N6</f>
        <v>0.63636363636363635</v>
      </c>
      <c r="Q6" s="155" t="str">
        <f t="shared" ref="Q6:Q51" si="0">IF(A6=R6,"OK","No")</f>
        <v>OK</v>
      </c>
      <c r="R6" t="s">
        <v>345</v>
      </c>
      <c r="S6">
        <v>11</v>
      </c>
      <c r="T6">
        <v>7</v>
      </c>
      <c r="U6" s="308">
        <v>0.63636363636363635</v>
      </c>
    </row>
    <row r="7" spans="1:21" x14ac:dyDescent="0.35">
      <c r="A7" s="16" t="s">
        <v>21</v>
      </c>
      <c r="B7" s="32">
        <v>21</v>
      </c>
      <c r="C7" s="32">
        <v>19</v>
      </c>
      <c r="D7" s="26">
        <v>0.90476190476190477</v>
      </c>
      <c r="E7" s="32">
        <v>19</v>
      </c>
      <c r="F7" s="32">
        <v>19</v>
      </c>
      <c r="G7" s="26">
        <v>1</v>
      </c>
      <c r="H7" s="32">
        <v>2</v>
      </c>
      <c r="I7" s="32">
        <v>2</v>
      </c>
      <c r="J7" s="26">
        <v>1</v>
      </c>
      <c r="K7" s="32">
        <v>1</v>
      </c>
      <c r="L7" s="32">
        <v>1</v>
      </c>
      <c r="M7" s="26">
        <v>1</v>
      </c>
      <c r="N7" s="97"/>
      <c r="O7" s="97"/>
      <c r="P7" s="82"/>
      <c r="Q7" s="155" t="str">
        <f t="shared" si="0"/>
        <v>OK</v>
      </c>
      <c r="R7" t="s">
        <v>21</v>
      </c>
    </row>
    <row r="8" spans="1:21" x14ac:dyDescent="0.35">
      <c r="A8" s="16" t="s">
        <v>357</v>
      </c>
      <c r="B8" s="32"/>
      <c r="C8" s="32"/>
      <c r="D8" s="26"/>
      <c r="E8" s="32"/>
      <c r="F8" s="32"/>
      <c r="G8" s="26"/>
      <c r="H8" s="32"/>
      <c r="I8" s="32"/>
      <c r="J8" s="26"/>
      <c r="K8" s="32"/>
      <c r="L8" s="32"/>
      <c r="M8" s="26"/>
      <c r="N8" s="97"/>
      <c r="O8" s="97"/>
      <c r="P8" s="82"/>
      <c r="Q8" s="155" t="str">
        <f t="shared" si="0"/>
        <v>OK</v>
      </c>
      <c r="R8" t="s">
        <v>357</v>
      </c>
    </row>
    <row r="9" spans="1:21" x14ac:dyDescent="0.35">
      <c r="A9" s="16" t="s">
        <v>0</v>
      </c>
      <c r="B9" s="32">
        <v>1027</v>
      </c>
      <c r="C9" s="32">
        <v>790</v>
      </c>
      <c r="D9" s="26">
        <v>0.76923076923076927</v>
      </c>
      <c r="E9" s="32">
        <v>1026</v>
      </c>
      <c r="F9" s="32">
        <v>887</v>
      </c>
      <c r="G9" s="26">
        <v>0.86452241715399614</v>
      </c>
      <c r="H9" s="32">
        <v>905</v>
      </c>
      <c r="I9" s="32">
        <v>760</v>
      </c>
      <c r="J9" s="26">
        <v>0.83977900552486184</v>
      </c>
      <c r="K9" s="32">
        <v>890</v>
      </c>
      <c r="L9" s="32">
        <v>681</v>
      </c>
      <c r="M9" s="26">
        <v>0.76516853932584272</v>
      </c>
      <c r="N9" s="97">
        <v>873</v>
      </c>
      <c r="O9" s="97">
        <v>692</v>
      </c>
      <c r="P9" s="82">
        <f t="shared" ref="P9:P15" si="1">O9/N9</f>
        <v>0.79266895761741119</v>
      </c>
      <c r="Q9" s="155" t="str">
        <f t="shared" si="0"/>
        <v>OK</v>
      </c>
      <c r="R9" t="s">
        <v>0</v>
      </c>
      <c r="S9">
        <v>873</v>
      </c>
      <c r="T9">
        <v>692</v>
      </c>
      <c r="U9" s="308">
        <v>0.79266895761741119</v>
      </c>
    </row>
    <row r="10" spans="1:21" x14ac:dyDescent="0.35">
      <c r="A10" s="16" t="s">
        <v>1</v>
      </c>
      <c r="B10" s="32">
        <v>1005</v>
      </c>
      <c r="C10" s="32">
        <v>909</v>
      </c>
      <c r="D10" s="26">
        <v>0.90447761194029852</v>
      </c>
      <c r="E10" s="32">
        <v>1030</v>
      </c>
      <c r="F10" s="32">
        <v>978</v>
      </c>
      <c r="G10" s="26">
        <v>0.94951456310679616</v>
      </c>
      <c r="H10" s="32">
        <v>775</v>
      </c>
      <c r="I10" s="32">
        <v>725</v>
      </c>
      <c r="J10" s="26">
        <v>0.93548387096774188</v>
      </c>
      <c r="K10" s="32">
        <v>792</v>
      </c>
      <c r="L10" s="32">
        <v>759</v>
      </c>
      <c r="M10" s="26">
        <v>0.95833333333333337</v>
      </c>
      <c r="N10" s="97">
        <v>803</v>
      </c>
      <c r="O10" s="97">
        <v>770</v>
      </c>
      <c r="P10" s="82">
        <f t="shared" si="1"/>
        <v>0.95890410958904104</v>
      </c>
      <c r="Q10" s="155" t="str">
        <f t="shared" si="0"/>
        <v>OK</v>
      </c>
      <c r="R10" t="s">
        <v>1</v>
      </c>
      <c r="S10">
        <v>803</v>
      </c>
      <c r="T10">
        <v>770</v>
      </c>
      <c r="U10" s="308">
        <v>0.95890410958904104</v>
      </c>
    </row>
    <row r="11" spans="1:21" x14ac:dyDescent="0.35">
      <c r="A11" s="16" t="s">
        <v>2</v>
      </c>
      <c r="B11" s="32">
        <v>158</v>
      </c>
      <c r="C11" s="32">
        <v>100</v>
      </c>
      <c r="D11" s="26">
        <v>0.63291139240506333</v>
      </c>
      <c r="E11" s="32">
        <v>155</v>
      </c>
      <c r="F11" s="32">
        <v>152</v>
      </c>
      <c r="G11" s="26">
        <v>0.98064516129032253</v>
      </c>
      <c r="H11" s="32">
        <v>147</v>
      </c>
      <c r="I11" s="32">
        <v>133</v>
      </c>
      <c r="J11" s="26">
        <v>0.90476190476190477</v>
      </c>
      <c r="K11" s="32">
        <v>131</v>
      </c>
      <c r="L11" s="32">
        <v>126</v>
      </c>
      <c r="M11" s="26">
        <v>0.96183206106870234</v>
      </c>
      <c r="N11" s="97">
        <v>136</v>
      </c>
      <c r="O11" s="97">
        <v>120</v>
      </c>
      <c r="P11" s="82">
        <f t="shared" si="1"/>
        <v>0.88235294117647056</v>
      </c>
      <c r="Q11" s="155" t="str">
        <f t="shared" si="0"/>
        <v>OK</v>
      </c>
      <c r="R11" t="s">
        <v>2</v>
      </c>
      <c r="S11">
        <v>136</v>
      </c>
      <c r="T11">
        <v>120</v>
      </c>
      <c r="U11" s="308">
        <v>0.88235294117647056</v>
      </c>
    </row>
    <row r="12" spans="1:21" x14ac:dyDescent="0.35">
      <c r="A12" s="16" t="s">
        <v>26</v>
      </c>
      <c r="B12" s="32"/>
      <c r="C12" s="32"/>
      <c r="D12" s="26"/>
      <c r="E12" s="32">
        <v>1</v>
      </c>
      <c r="F12" s="32">
        <v>1</v>
      </c>
      <c r="G12" s="26">
        <v>1</v>
      </c>
      <c r="H12" s="32"/>
      <c r="I12" s="32"/>
      <c r="J12" s="26"/>
      <c r="K12" s="32"/>
      <c r="L12" s="32"/>
      <c r="M12" s="26"/>
      <c r="N12" s="97">
        <v>361</v>
      </c>
      <c r="O12" s="97">
        <v>281</v>
      </c>
      <c r="P12" s="82">
        <f t="shared" si="1"/>
        <v>0.77839335180055402</v>
      </c>
      <c r="Q12" s="155" t="str">
        <f t="shared" si="0"/>
        <v>OK</v>
      </c>
      <c r="R12" t="s">
        <v>26</v>
      </c>
      <c r="S12">
        <v>361</v>
      </c>
      <c r="T12">
        <v>281</v>
      </c>
      <c r="U12" s="308">
        <v>0.77839335180055402</v>
      </c>
    </row>
    <row r="13" spans="1:21" x14ac:dyDescent="0.35">
      <c r="A13" s="16" t="s">
        <v>306</v>
      </c>
      <c r="B13" s="32">
        <v>23</v>
      </c>
      <c r="C13" s="32">
        <v>15</v>
      </c>
      <c r="D13" s="26">
        <v>0.65217391304347827</v>
      </c>
      <c r="E13" s="32">
        <v>51</v>
      </c>
      <c r="F13" s="32">
        <v>35</v>
      </c>
      <c r="G13" s="26">
        <v>0.68627450980392157</v>
      </c>
      <c r="H13" s="32">
        <v>34</v>
      </c>
      <c r="I13" s="32">
        <v>26</v>
      </c>
      <c r="J13" s="26">
        <v>0.76470588235294112</v>
      </c>
      <c r="K13" s="32">
        <v>45</v>
      </c>
      <c r="L13" s="32">
        <v>29</v>
      </c>
      <c r="M13" s="26">
        <v>0.64444444444444449</v>
      </c>
      <c r="N13" s="97">
        <v>28</v>
      </c>
      <c r="O13" s="97">
        <v>25</v>
      </c>
      <c r="P13" s="82">
        <f t="shared" si="1"/>
        <v>0.8928571428571429</v>
      </c>
      <c r="Q13" s="155" t="str">
        <f t="shared" si="0"/>
        <v>OK</v>
      </c>
      <c r="R13" t="s">
        <v>306</v>
      </c>
      <c r="S13">
        <v>28</v>
      </c>
      <c r="T13">
        <v>25</v>
      </c>
      <c r="U13" s="308">
        <v>0.8928571428571429</v>
      </c>
    </row>
    <row r="14" spans="1:21" x14ac:dyDescent="0.35">
      <c r="A14" s="16" t="s">
        <v>3</v>
      </c>
      <c r="B14" s="32">
        <v>125</v>
      </c>
      <c r="C14" s="32">
        <v>97</v>
      </c>
      <c r="D14" s="26">
        <v>0.77600000000000002</v>
      </c>
      <c r="E14" s="32">
        <v>104</v>
      </c>
      <c r="F14" s="32">
        <v>96</v>
      </c>
      <c r="G14" s="26">
        <v>0.92307692307692313</v>
      </c>
      <c r="H14" s="32">
        <v>73</v>
      </c>
      <c r="I14" s="32">
        <v>55</v>
      </c>
      <c r="J14" s="26">
        <v>0.75342465753424659</v>
      </c>
      <c r="K14" s="32">
        <v>72</v>
      </c>
      <c r="L14" s="32">
        <v>58</v>
      </c>
      <c r="M14" s="26">
        <v>0.80555555555555558</v>
      </c>
      <c r="N14" s="97">
        <v>104</v>
      </c>
      <c r="O14" s="97">
        <v>90</v>
      </c>
      <c r="P14" s="82">
        <f t="shared" si="1"/>
        <v>0.86538461538461542</v>
      </c>
      <c r="Q14" s="155" t="str">
        <f t="shared" si="0"/>
        <v>OK</v>
      </c>
      <c r="R14" t="s">
        <v>3</v>
      </c>
      <c r="S14">
        <v>104</v>
      </c>
      <c r="T14">
        <v>90</v>
      </c>
      <c r="U14" s="308">
        <v>0.86538461538461542</v>
      </c>
    </row>
    <row r="15" spans="1:21" x14ac:dyDescent="0.35">
      <c r="A15" s="16" t="s">
        <v>22</v>
      </c>
      <c r="B15" s="32">
        <v>22</v>
      </c>
      <c r="C15" s="32">
        <v>19</v>
      </c>
      <c r="D15" s="26">
        <v>0.86363636363636365</v>
      </c>
      <c r="E15" s="32">
        <v>21</v>
      </c>
      <c r="F15" s="32">
        <v>17</v>
      </c>
      <c r="G15" s="26">
        <v>0.80952380952380953</v>
      </c>
      <c r="H15" s="32">
        <v>4</v>
      </c>
      <c r="I15" s="32">
        <v>3</v>
      </c>
      <c r="J15" s="26">
        <v>0.75</v>
      </c>
      <c r="K15" s="32">
        <v>6</v>
      </c>
      <c r="L15" s="32">
        <v>5</v>
      </c>
      <c r="M15" s="26">
        <v>0.83333333333333337</v>
      </c>
      <c r="N15" s="97">
        <v>7</v>
      </c>
      <c r="O15" s="97">
        <v>6</v>
      </c>
      <c r="P15" s="82">
        <f t="shared" si="1"/>
        <v>0.8571428571428571</v>
      </c>
      <c r="Q15" s="155" t="str">
        <f t="shared" si="0"/>
        <v>OK</v>
      </c>
      <c r="R15" t="s">
        <v>22</v>
      </c>
      <c r="S15">
        <v>7</v>
      </c>
      <c r="T15">
        <v>6</v>
      </c>
      <c r="U15" s="308">
        <v>0.8571428571428571</v>
      </c>
    </row>
    <row r="16" spans="1:21" x14ac:dyDescent="0.35">
      <c r="A16" s="16" t="s">
        <v>23</v>
      </c>
      <c r="B16" s="32">
        <v>14</v>
      </c>
      <c r="C16" s="32">
        <v>10</v>
      </c>
      <c r="D16" s="26">
        <v>0.7142857142857143</v>
      </c>
      <c r="E16" s="32">
        <v>12</v>
      </c>
      <c r="F16" s="32">
        <v>10</v>
      </c>
      <c r="G16" s="26">
        <v>0.83333333333333337</v>
      </c>
      <c r="H16" s="32"/>
      <c r="I16" s="32"/>
      <c r="J16" s="26"/>
      <c r="K16" s="32"/>
      <c r="L16" s="32"/>
      <c r="M16" s="26"/>
      <c r="N16" s="97"/>
      <c r="O16" s="97"/>
      <c r="P16" s="82"/>
      <c r="Q16" s="155" t="str">
        <f t="shared" si="0"/>
        <v>OK</v>
      </c>
      <c r="R16" t="s">
        <v>23</v>
      </c>
    </row>
    <row r="17" spans="1:21" x14ac:dyDescent="0.35">
      <c r="A17" s="16" t="s">
        <v>4</v>
      </c>
      <c r="B17" s="32">
        <v>36</v>
      </c>
      <c r="C17" s="32">
        <v>21</v>
      </c>
      <c r="D17" s="26">
        <v>0.58333333333333337</v>
      </c>
      <c r="E17" s="32">
        <v>45</v>
      </c>
      <c r="F17" s="32">
        <v>43</v>
      </c>
      <c r="G17" s="26">
        <v>0.9555555555555556</v>
      </c>
      <c r="H17" s="32">
        <v>38</v>
      </c>
      <c r="I17" s="32">
        <v>24</v>
      </c>
      <c r="J17" s="26">
        <v>0.63157894736842102</v>
      </c>
      <c r="K17" s="32">
        <v>40</v>
      </c>
      <c r="L17" s="32">
        <v>31</v>
      </c>
      <c r="M17" s="26">
        <v>0.77500000000000002</v>
      </c>
      <c r="N17" s="97">
        <v>41</v>
      </c>
      <c r="O17" s="97">
        <v>29</v>
      </c>
      <c r="P17" s="82">
        <f>O17/N17</f>
        <v>0.70731707317073167</v>
      </c>
      <c r="Q17" s="155" t="str">
        <f t="shared" si="0"/>
        <v>OK</v>
      </c>
      <c r="R17" t="s">
        <v>4</v>
      </c>
      <c r="S17">
        <v>41</v>
      </c>
      <c r="T17">
        <v>29</v>
      </c>
      <c r="U17" s="308">
        <v>0.70731707317073167</v>
      </c>
    </row>
    <row r="18" spans="1:21" x14ac:dyDescent="0.35">
      <c r="A18" s="16" t="s">
        <v>6</v>
      </c>
      <c r="B18" s="32">
        <v>31</v>
      </c>
      <c r="C18" s="32">
        <v>27</v>
      </c>
      <c r="D18" s="26">
        <v>0.87096774193548387</v>
      </c>
      <c r="E18" s="32">
        <v>26</v>
      </c>
      <c r="F18" s="32">
        <v>21</v>
      </c>
      <c r="G18" s="26">
        <v>0.80769230769230771</v>
      </c>
      <c r="H18" s="32">
        <v>25</v>
      </c>
      <c r="I18" s="32">
        <v>20</v>
      </c>
      <c r="J18" s="26">
        <v>0.8</v>
      </c>
      <c r="K18" s="32">
        <v>31</v>
      </c>
      <c r="L18" s="32">
        <v>19</v>
      </c>
      <c r="M18" s="26">
        <v>0.61290322580645162</v>
      </c>
      <c r="N18" s="97">
        <v>34</v>
      </c>
      <c r="O18" s="97">
        <v>21</v>
      </c>
      <c r="P18" s="82">
        <f>O18/N18</f>
        <v>0.61764705882352944</v>
      </c>
      <c r="Q18" s="155" t="str">
        <f t="shared" si="0"/>
        <v>OK</v>
      </c>
      <c r="R18" t="s">
        <v>6</v>
      </c>
      <c r="S18">
        <v>34</v>
      </c>
      <c r="T18">
        <v>21</v>
      </c>
      <c r="U18" s="308">
        <v>0.61764705882352944</v>
      </c>
    </row>
    <row r="19" spans="1:21" x14ac:dyDescent="0.35">
      <c r="A19" s="16" t="s">
        <v>5</v>
      </c>
      <c r="B19" s="32"/>
      <c r="C19" s="32"/>
      <c r="D19" s="26"/>
      <c r="E19" s="32"/>
      <c r="F19" s="32"/>
      <c r="G19" s="26"/>
      <c r="H19" s="32"/>
      <c r="I19" s="32"/>
      <c r="J19" s="26"/>
      <c r="K19" s="32"/>
      <c r="L19" s="32"/>
      <c r="M19" s="26"/>
      <c r="N19" s="97"/>
      <c r="O19" s="97"/>
      <c r="P19" s="82"/>
      <c r="Q19" s="155" t="str">
        <f t="shared" si="0"/>
        <v>OK</v>
      </c>
      <c r="R19" t="s">
        <v>5</v>
      </c>
    </row>
    <row r="20" spans="1:21" x14ac:dyDescent="0.35">
      <c r="A20" s="16" t="s">
        <v>24</v>
      </c>
      <c r="B20" s="32"/>
      <c r="C20" s="32"/>
      <c r="D20" s="26"/>
      <c r="E20" s="32"/>
      <c r="F20" s="32"/>
      <c r="G20" s="26"/>
      <c r="H20" s="32"/>
      <c r="I20" s="32"/>
      <c r="J20" s="26"/>
      <c r="K20" s="32"/>
      <c r="L20" s="32"/>
      <c r="M20" s="26"/>
      <c r="N20" s="97"/>
      <c r="O20" s="97"/>
      <c r="P20" s="82"/>
      <c r="Q20" s="155" t="str">
        <f t="shared" si="0"/>
        <v>OK</v>
      </c>
      <c r="R20" t="s">
        <v>24</v>
      </c>
    </row>
    <row r="21" spans="1:21" x14ac:dyDescent="0.35">
      <c r="A21" s="16" t="s">
        <v>7</v>
      </c>
      <c r="B21" s="32">
        <v>79</v>
      </c>
      <c r="C21" s="32">
        <v>53</v>
      </c>
      <c r="D21" s="26">
        <v>0.67088607594936711</v>
      </c>
      <c r="E21" s="32">
        <v>70</v>
      </c>
      <c r="F21" s="32">
        <v>62</v>
      </c>
      <c r="G21" s="26">
        <v>0.88571428571428568</v>
      </c>
      <c r="H21" s="32">
        <v>11</v>
      </c>
      <c r="I21" s="32">
        <v>11</v>
      </c>
      <c r="J21" s="26">
        <v>1</v>
      </c>
      <c r="K21" s="32">
        <v>11</v>
      </c>
      <c r="L21" s="32">
        <v>11</v>
      </c>
      <c r="M21" s="26">
        <v>1</v>
      </c>
      <c r="N21" s="97">
        <v>9</v>
      </c>
      <c r="O21" s="97">
        <v>9</v>
      </c>
      <c r="P21" s="82">
        <f>O21/N21</f>
        <v>1</v>
      </c>
      <c r="Q21" s="155" t="str">
        <f t="shared" si="0"/>
        <v>OK</v>
      </c>
      <c r="R21" t="s">
        <v>7</v>
      </c>
      <c r="S21">
        <v>9</v>
      </c>
      <c r="T21">
        <v>9</v>
      </c>
      <c r="U21" s="308">
        <v>1</v>
      </c>
    </row>
    <row r="22" spans="1:21" x14ac:dyDescent="0.35">
      <c r="A22" s="16" t="s">
        <v>8</v>
      </c>
      <c r="B22" s="32">
        <v>117</v>
      </c>
      <c r="C22" s="32">
        <v>102</v>
      </c>
      <c r="D22" s="26">
        <v>0.87179487179487181</v>
      </c>
      <c r="E22" s="32">
        <v>124</v>
      </c>
      <c r="F22" s="32">
        <v>123</v>
      </c>
      <c r="G22" s="26">
        <v>0.99193548387096775</v>
      </c>
      <c r="H22" s="32">
        <v>101</v>
      </c>
      <c r="I22" s="32">
        <v>99</v>
      </c>
      <c r="J22" s="26">
        <v>0.98019801980198018</v>
      </c>
      <c r="K22" s="32">
        <v>91</v>
      </c>
      <c r="L22" s="32">
        <v>82</v>
      </c>
      <c r="M22" s="26">
        <v>0.90109890109890112</v>
      </c>
      <c r="N22" s="97">
        <v>117</v>
      </c>
      <c r="O22" s="97">
        <v>116</v>
      </c>
      <c r="P22" s="82">
        <f>O22/N22</f>
        <v>0.99145299145299148</v>
      </c>
      <c r="Q22" s="155" t="str">
        <f t="shared" si="0"/>
        <v>OK</v>
      </c>
      <c r="R22" t="s">
        <v>8</v>
      </c>
      <c r="S22">
        <v>117</v>
      </c>
      <c r="T22">
        <v>116</v>
      </c>
      <c r="U22" s="308">
        <v>0.99145299145299148</v>
      </c>
    </row>
    <row r="23" spans="1:21" x14ac:dyDescent="0.35">
      <c r="A23" s="16" t="s">
        <v>19</v>
      </c>
      <c r="B23" s="32">
        <v>5674</v>
      </c>
      <c r="C23" s="32">
        <v>4834</v>
      </c>
      <c r="D23" s="26">
        <v>0.85195629185759603</v>
      </c>
      <c r="E23" s="32">
        <v>5886</v>
      </c>
      <c r="F23" s="32">
        <v>5418</v>
      </c>
      <c r="G23" s="26">
        <v>0.92048929663608559</v>
      </c>
      <c r="H23" s="32">
        <v>5815</v>
      </c>
      <c r="I23" s="32">
        <v>5361</v>
      </c>
      <c r="J23" s="26">
        <v>0.92192605331040411</v>
      </c>
      <c r="K23" s="32">
        <v>5895</v>
      </c>
      <c r="L23" s="32">
        <v>5271</v>
      </c>
      <c r="M23" s="26">
        <v>0.89414758269720107</v>
      </c>
      <c r="N23" s="97">
        <v>6004</v>
      </c>
      <c r="O23" s="97">
        <v>5359</v>
      </c>
      <c r="P23" s="82">
        <f>O23/N23</f>
        <v>0.89257161892071957</v>
      </c>
      <c r="Q23" s="155" t="str">
        <f t="shared" si="0"/>
        <v>OK</v>
      </c>
      <c r="R23" t="s">
        <v>19</v>
      </c>
      <c r="S23">
        <v>6004</v>
      </c>
      <c r="T23">
        <v>5359</v>
      </c>
      <c r="U23" s="308">
        <v>0.89257161892071957</v>
      </c>
    </row>
    <row r="24" spans="1:21" x14ac:dyDescent="0.35">
      <c r="A24" s="16" t="s">
        <v>20</v>
      </c>
      <c r="B24" s="32"/>
      <c r="C24" s="32"/>
      <c r="D24" s="26"/>
      <c r="E24" s="32">
        <v>0</v>
      </c>
      <c r="F24" s="32"/>
      <c r="G24" s="26"/>
      <c r="H24" s="32"/>
      <c r="I24" s="32"/>
      <c r="J24" s="26"/>
      <c r="K24" s="32"/>
      <c r="L24" s="32"/>
      <c r="M24" s="26"/>
      <c r="N24" s="97"/>
      <c r="O24" s="97"/>
      <c r="P24" s="82"/>
      <c r="Q24" s="155" t="str">
        <f t="shared" si="0"/>
        <v>OK</v>
      </c>
      <c r="R24" t="s">
        <v>20</v>
      </c>
    </row>
    <row r="25" spans="1:21" x14ac:dyDescent="0.35">
      <c r="A25" s="16" t="s">
        <v>27</v>
      </c>
      <c r="B25" s="32"/>
      <c r="C25" s="32"/>
      <c r="D25" s="26"/>
      <c r="E25" s="32">
        <v>0</v>
      </c>
      <c r="F25" s="32"/>
      <c r="G25" s="26"/>
      <c r="H25" s="32"/>
      <c r="I25" s="32"/>
      <c r="J25" s="26"/>
      <c r="K25" s="32"/>
      <c r="L25" s="32"/>
      <c r="M25" s="26"/>
      <c r="N25" s="97"/>
      <c r="O25" s="97"/>
      <c r="P25" s="82"/>
      <c r="Q25" s="155" t="str">
        <f t="shared" si="0"/>
        <v>OK</v>
      </c>
      <c r="R25" t="s">
        <v>27</v>
      </c>
    </row>
    <row r="26" spans="1:21" x14ac:dyDescent="0.35">
      <c r="A26" s="16" t="s">
        <v>9</v>
      </c>
      <c r="B26" s="32">
        <v>18</v>
      </c>
      <c r="C26" s="32">
        <v>13</v>
      </c>
      <c r="D26" s="26">
        <v>0.72222222222222221</v>
      </c>
      <c r="E26" s="32">
        <v>19</v>
      </c>
      <c r="F26" s="32">
        <v>19</v>
      </c>
      <c r="G26" s="26">
        <v>1</v>
      </c>
      <c r="H26" s="32">
        <v>10</v>
      </c>
      <c r="I26" s="32">
        <v>9</v>
      </c>
      <c r="J26" s="26">
        <v>0.9</v>
      </c>
      <c r="K26" s="32">
        <v>7</v>
      </c>
      <c r="L26" s="32">
        <v>5</v>
      </c>
      <c r="M26" s="26">
        <v>0.7142857142857143</v>
      </c>
      <c r="N26" s="97">
        <v>9</v>
      </c>
      <c r="O26" s="97">
        <v>7</v>
      </c>
      <c r="P26" s="82">
        <f t="shared" ref="P26:P37" si="2">O26/N26</f>
        <v>0.77777777777777779</v>
      </c>
      <c r="Q26" s="155" t="str">
        <f t="shared" si="0"/>
        <v>OK</v>
      </c>
      <c r="R26" t="s">
        <v>9</v>
      </c>
      <c r="S26">
        <v>9</v>
      </c>
      <c r="T26">
        <v>7</v>
      </c>
      <c r="U26" s="308">
        <v>0.77777777777777779</v>
      </c>
    </row>
    <row r="27" spans="1:21" x14ac:dyDescent="0.35">
      <c r="A27" s="16" t="s">
        <v>342</v>
      </c>
      <c r="B27" s="32">
        <v>68</v>
      </c>
      <c r="C27" s="32">
        <v>49</v>
      </c>
      <c r="D27" s="26">
        <v>0.72058823529411764</v>
      </c>
      <c r="E27" s="32">
        <v>64</v>
      </c>
      <c r="F27" s="32">
        <v>52</v>
      </c>
      <c r="G27" s="26">
        <v>0.8125</v>
      </c>
      <c r="H27" s="32">
        <v>8</v>
      </c>
      <c r="I27" s="32">
        <v>8</v>
      </c>
      <c r="J27" s="26">
        <v>1</v>
      </c>
      <c r="K27" s="32">
        <v>7</v>
      </c>
      <c r="L27" s="32">
        <v>5</v>
      </c>
      <c r="M27" s="26">
        <v>0.7142857142857143</v>
      </c>
      <c r="N27" s="97">
        <v>11</v>
      </c>
      <c r="O27" s="97">
        <v>10</v>
      </c>
      <c r="P27" s="82">
        <f t="shared" si="2"/>
        <v>0.90909090909090906</v>
      </c>
      <c r="Q27" s="155" t="str">
        <f t="shared" si="0"/>
        <v>OK</v>
      </c>
      <c r="R27" t="s">
        <v>342</v>
      </c>
      <c r="S27">
        <v>11</v>
      </c>
      <c r="T27">
        <v>10</v>
      </c>
      <c r="U27" s="308">
        <v>0.90909090909090906</v>
      </c>
    </row>
    <row r="28" spans="1:21" x14ac:dyDescent="0.35">
      <c r="A28" s="16" t="s">
        <v>178</v>
      </c>
      <c r="B28" s="32">
        <v>116</v>
      </c>
      <c r="C28" s="32">
        <v>89</v>
      </c>
      <c r="D28" s="26">
        <v>0.76724137931034486</v>
      </c>
      <c r="E28" s="32">
        <v>127</v>
      </c>
      <c r="F28" s="32">
        <v>105</v>
      </c>
      <c r="G28" s="26">
        <v>0.82677165354330706</v>
      </c>
      <c r="H28" s="32">
        <v>127</v>
      </c>
      <c r="I28" s="32">
        <v>90</v>
      </c>
      <c r="J28" s="26">
        <v>0.70866141732283461</v>
      </c>
      <c r="K28" s="32">
        <v>127</v>
      </c>
      <c r="L28" s="32">
        <v>84</v>
      </c>
      <c r="M28" s="26">
        <v>0.66141732283464572</v>
      </c>
      <c r="N28" s="97">
        <v>123</v>
      </c>
      <c r="O28" s="97">
        <v>89</v>
      </c>
      <c r="P28" s="82">
        <f t="shared" si="2"/>
        <v>0.72357723577235777</v>
      </c>
      <c r="Q28" s="155" t="str">
        <f t="shared" si="0"/>
        <v>OK</v>
      </c>
      <c r="R28" t="s">
        <v>178</v>
      </c>
      <c r="S28">
        <v>123</v>
      </c>
      <c r="T28">
        <v>89</v>
      </c>
      <c r="U28" s="308">
        <v>0.72357723577235777</v>
      </c>
    </row>
    <row r="29" spans="1:21" x14ac:dyDescent="0.35">
      <c r="A29" s="16" t="s">
        <v>10</v>
      </c>
      <c r="B29" s="32">
        <v>242</v>
      </c>
      <c r="C29" s="32">
        <v>225</v>
      </c>
      <c r="D29" s="26">
        <v>0.92975206611570249</v>
      </c>
      <c r="E29" s="32">
        <v>225</v>
      </c>
      <c r="F29" s="32">
        <v>221</v>
      </c>
      <c r="G29" s="26">
        <v>0.98222222222222222</v>
      </c>
      <c r="H29" s="32">
        <v>162</v>
      </c>
      <c r="I29" s="32">
        <v>156</v>
      </c>
      <c r="J29" s="26">
        <v>0.96296296296296291</v>
      </c>
      <c r="K29" s="32">
        <v>161</v>
      </c>
      <c r="L29" s="32">
        <v>160</v>
      </c>
      <c r="M29" s="26">
        <v>0.99378881987577639</v>
      </c>
      <c r="N29" s="97">
        <v>159</v>
      </c>
      <c r="O29" s="97">
        <v>146</v>
      </c>
      <c r="P29" s="82">
        <f t="shared" si="2"/>
        <v>0.91823899371069184</v>
      </c>
      <c r="Q29" s="155" t="str">
        <f t="shared" si="0"/>
        <v>OK</v>
      </c>
      <c r="R29" t="s">
        <v>10</v>
      </c>
      <c r="S29">
        <v>159</v>
      </c>
      <c r="T29">
        <v>146</v>
      </c>
      <c r="U29" s="308">
        <v>0.91823899371069184</v>
      </c>
    </row>
    <row r="30" spans="1:21" x14ac:dyDescent="0.35">
      <c r="A30" s="16" t="s">
        <v>11</v>
      </c>
      <c r="B30" s="32">
        <v>87</v>
      </c>
      <c r="C30" s="32">
        <v>67</v>
      </c>
      <c r="D30" s="26">
        <v>0.77011494252873558</v>
      </c>
      <c r="E30" s="32">
        <v>87</v>
      </c>
      <c r="F30" s="32">
        <v>76</v>
      </c>
      <c r="G30" s="26">
        <v>0.87356321839080464</v>
      </c>
      <c r="H30" s="32">
        <v>71</v>
      </c>
      <c r="I30" s="32">
        <v>60</v>
      </c>
      <c r="J30" s="26">
        <v>0.84507042253521125</v>
      </c>
      <c r="K30" s="32">
        <v>85</v>
      </c>
      <c r="L30" s="32">
        <v>60</v>
      </c>
      <c r="M30" s="26">
        <v>0.70588235294117652</v>
      </c>
      <c r="N30" s="97">
        <v>93</v>
      </c>
      <c r="O30" s="97">
        <v>61</v>
      </c>
      <c r="P30" s="82">
        <f t="shared" si="2"/>
        <v>0.65591397849462363</v>
      </c>
      <c r="Q30" s="155" t="str">
        <f t="shared" si="0"/>
        <v>OK</v>
      </c>
      <c r="R30" t="s">
        <v>11</v>
      </c>
      <c r="S30">
        <v>93</v>
      </c>
      <c r="T30">
        <v>61</v>
      </c>
      <c r="U30" s="308">
        <v>0.65591397849462363</v>
      </c>
    </row>
    <row r="31" spans="1:21" x14ac:dyDescent="0.35">
      <c r="A31" s="16" t="s">
        <v>12</v>
      </c>
      <c r="B31" s="32">
        <v>67</v>
      </c>
      <c r="C31" s="32">
        <v>61</v>
      </c>
      <c r="D31" s="26">
        <v>0.91044776119402981</v>
      </c>
      <c r="E31" s="32">
        <v>67</v>
      </c>
      <c r="F31" s="32">
        <v>66</v>
      </c>
      <c r="G31" s="26">
        <v>0.9850746268656716</v>
      </c>
      <c r="H31" s="32">
        <v>49</v>
      </c>
      <c r="I31" s="32">
        <v>48</v>
      </c>
      <c r="J31" s="26">
        <v>0.97959183673469385</v>
      </c>
      <c r="K31" s="32">
        <v>50</v>
      </c>
      <c r="L31" s="32">
        <v>48</v>
      </c>
      <c r="M31" s="26">
        <v>0.96</v>
      </c>
      <c r="N31" s="97">
        <v>57</v>
      </c>
      <c r="O31" s="97">
        <v>50</v>
      </c>
      <c r="P31" s="82">
        <f t="shared" si="2"/>
        <v>0.8771929824561403</v>
      </c>
      <c r="Q31" s="155" t="str">
        <f t="shared" si="0"/>
        <v>OK</v>
      </c>
      <c r="R31" t="s">
        <v>12</v>
      </c>
      <c r="S31">
        <v>57</v>
      </c>
      <c r="T31">
        <v>50</v>
      </c>
      <c r="U31" s="308">
        <v>0.8771929824561403</v>
      </c>
    </row>
    <row r="32" spans="1:21" x14ac:dyDescent="0.35">
      <c r="A32" s="16" t="s">
        <v>13</v>
      </c>
      <c r="B32" s="32">
        <v>72</v>
      </c>
      <c r="C32" s="32">
        <v>36</v>
      </c>
      <c r="D32" s="26">
        <v>0.5</v>
      </c>
      <c r="E32" s="32">
        <v>57</v>
      </c>
      <c r="F32" s="32">
        <v>57</v>
      </c>
      <c r="G32" s="26">
        <v>1</v>
      </c>
      <c r="H32" s="32">
        <v>43</v>
      </c>
      <c r="I32" s="32">
        <v>43</v>
      </c>
      <c r="J32" s="26">
        <v>1</v>
      </c>
      <c r="K32" s="32">
        <v>40</v>
      </c>
      <c r="L32" s="32">
        <v>40</v>
      </c>
      <c r="M32" s="26">
        <v>1</v>
      </c>
      <c r="N32" s="97">
        <v>45</v>
      </c>
      <c r="O32" s="97">
        <v>45</v>
      </c>
      <c r="P32" s="82">
        <f t="shared" si="2"/>
        <v>1</v>
      </c>
      <c r="Q32" s="155" t="str">
        <f t="shared" si="0"/>
        <v>OK</v>
      </c>
      <c r="R32" t="s">
        <v>13</v>
      </c>
      <c r="S32">
        <v>45</v>
      </c>
      <c r="T32">
        <v>45</v>
      </c>
      <c r="U32" s="308">
        <v>1</v>
      </c>
    </row>
    <row r="33" spans="1:21" x14ac:dyDescent="0.35">
      <c r="A33" s="16" t="s">
        <v>343</v>
      </c>
      <c r="B33" s="32">
        <v>22</v>
      </c>
      <c r="C33" s="32">
        <v>14</v>
      </c>
      <c r="D33" s="26">
        <v>0.63636363636363635</v>
      </c>
      <c r="E33" s="32">
        <v>13</v>
      </c>
      <c r="F33" s="32">
        <v>10</v>
      </c>
      <c r="G33" s="26">
        <v>0.76923076923076927</v>
      </c>
      <c r="H33" s="32">
        <v>4</v>
      </c>
      <c r="I33" s="32">
        <v>3</v>
      </c>
      <c r="J33" s="26">
        <v>0.75</v>
      </c>
      <c r="K33" s="32">
        <v>9</v>
      </c>
      <c r="L33" s="32">
        <v>7</v>
      </c>
      <c r="M33" s="26">
        <v>0.77777777777777779</v>
      </c>
      <c r="N33" s="97">
        <v>9</v>
      </c>
      <c r="O33" s="97">
        <v>4</v>
      </c>
      <c r="P33" s="82">
        <f t="shared" si="2"/>
        <v>0.44444444444444442</v>
      </c>
      <c r="Q33" s="155" t="str">
        <f t="shared" si="0"/>
        <v>OK</v>
      </c>
      <c r="R33" t="s">
        <v>343</v>
      </c>
      <c r="S33">
        <v>9</v>
      </c>
      <c r="T33">
        <v>4</v>
      </c>
      <c r="U33" s="308">
        <v>0.44444444444444442</v>
      </c>
    </row>
    <row r="34" spans="1:21" x14ac:dyDescent="0.35">
      <c r="A34" s="16" t="s">
        <v>14</v>
      </c>
      <c r="B34" s="32">
        <v>125</v>
      </c>
      <c r="C34" s="32">
        <v>123</v>
      </c>
      <c r="D34" s="26">
        <v>0.98399999999999999</v>
      </c>
      <c r="E34" s="32">
        <v>148</v>
      </c>
      <c r="F34" s="32">
        <v>146</v>
      </c>
      <c r="G34" s="26">
        <v>0.98648648648648651</v>
      </c>
      <c r="H34" s="32">
        <v>108</v>
      </c>
      <c r="I34" s="32">
        <v>108</v>
      </c>
      <c r="J34" s="26">
        <v>1</v>
      </c>
      <c r="K34" s="32">
        <v>104</v>
      </c>
      <c r="L34" s="32">
        <v>104</v>
      </c>
      <c r="M34" s="26">
        <v>1</v>
      </c>
      <c r="N34" s="97">
        <v>103</v>
      </c>
      <c r="O34" s="97">
        <v>103</v>
      </c>
      <c r="P34" s="82">
        <f t="shared" si="2"/>
        <v>1</v>
      </c>
      <c r="Q34" s="155" t="str">
        <f t="shared" si="0"/>
        <v>OK</v>
      </c>
      <c r="R34" t="s">
        <v>14</v>
      </c>
      <c r="S34">
        <v>103</v>
      </c>
      <c r="T34">
        <v>103</v>
      </c>
      <c r="U34" s="308">
        <v>1</v>
      </c>
    </row>
    <row r="35" spans="1:21" x14ac:dyDescent="0.35">
      <c r="A35" s="16" t="s">
        <v>15</v>
      </c>
      <c r="B35" s="32">
        <v>490</v>
      </c>
      <c r="C35" s="32">
        <v>415</v>
      </c>
      <c r="D35" s="26">
        <v>0.84693877551020413</v>
      </c>
      <c r="E35" s="32">
        <v>512</v>
      </c>
      <c r="F35" s="32">
        <v>479</v>
      </c>
      <c r="G35" s="26">
        <v>0.935546875</v>
      </c>
      <c r="H35" s="32">
        <v>502</v>
      </c>
      <c r="I35" s="32">
        <v>449</v>
      </c>
      <c r="J35" s="26">
        <v>0.89442231075697209</v>
      </c>
      <c r="K35" s="32">
        <v>509</v>
      </c>
      <c r="L35" s="32">
        <v>429</v>
      </c>
      <c r="M35" s="26">
        <v>0.84282907662082518</v>
      </c>
      <c r="N35" s="97">
        <v>543</v>
      </c>
      <c r="O35" s="97">
        <v>459</v>
      </c>
      <c r="P35" s="82">
        <f t="shared" si="2"/>
        <v>0.84530386740331487</v>
      </c>
      <c r="Q35" s="155" t="str">
        <f t="shared" si="0"/>
        <v>OK</v>
      </c>
      <c r="R35" t="s">
        <v>15</v>
      </c>
      <c r="S35">
        <v>543</v>
      </c>
      <c r="T35">
        <v>459</v>
      </c>
      <c r="U35" s="308">
        <v>0.84530386740331487</v>
      </c>
    </row>
    <row r="36" spans="1:21" x14ac:dyDescent="0.35">
      <c r="A36" s="16" t="s">
        <v>16</v>
      </c>
      <c r="B36" s="32">
        <v>79</v>
      </c>
      <c r="C36" s="32">
        <v>79</v>
      </c>
      <c r="D36" s="26">
        <v>1</v>
      </c>
      <c r="E36" s="32">
        <v>78</v>
      </c>
      <c r="F36" s="32">
        <v>77</v>
      </c>
      <c r="G36" s="26">
        <v>0.98717948717948723</v>
      </c>
      <c r="H36" s="32">
        <v>50</v>
      </c>
      <c r="I36" s="32">
        <v>50</v>
      </c>
      <c r="J36" s="26">
        <v>1</v>
      </c>
      <c r="K36" s="32">
        <v>63</v>
      </c>
      <c r="L36" s="32">
        <v>55</v>
      </c>
      <c r="M36" s="26">
        <v>0.87301587301587302</v>
      </c>
      <c r="N36" s="97">
        <v>60</v>
      </c>
      <c r="O36" s="97">
        <v>57</v>
      </c>
      <c r="P36" s="82">
        <f t="shared" si="2"/>
        <v>0.95</v>
      </c>
      <c r="Q36" s="155" t="str">
        <f t="shared" si="0"/>
        <v>OK</v>
      </c>
      <c r="R36" t="s">
        <v>16</v>
      </c>
      <c r="S36">
        <v>60</v>
      </c>
      <c r="T36">
        <v>57</v>
      </c>
      <c r="U36" s="308">
        <v>0.95</v>
      </c>
    </row>
    <row r="37" spans="1:21" x14ac:dyDescent="0.35">
      <c r="A37" s="16" t="s">
        <v>344</v>
      </c>
      <c r="B37" s="32"/>
      <c r="C37" s="32"/>
      <c r="D37" s="26"/>
      <c r="E37" s="32">
        <v>1</v>
      </c>
      <c r="F37" s="32">
        <v>1</v>
      </c>
      <c r="G37" s="26">
        <v>1</v>
      </c>
      <c r="H37" s="32"/>
      <c r="I37" s="32"/>
      <c r="J37" s="26"/>
      <c r="K37" s="32"/>
      <c r="L37" s="32"/>
      <c r="M37" s="26"/>
      <c r="N37" s="97">
        <v>4</v>
      </c>
      <c r="O37" s="97">
        <v>3</v>
      </c>
      <c r="P37" s="82">
        <f t="shared" si="2"/>
        <v>0.75</v>
      </c>
      <c r="Q37" s="155" t="str">
        <f t="shared" si="0"/>
        <v>OK</v>
      </c>
      <c r="R37" t="s">
        <v>344</v>
      </c>
      <c r="S37">
        <v>4</v>
      </c>
      <c r="T37">
        <v>3</v>
      </c>
      <c r="U37" s="308">
        <v>0.75</v>
      </c>
    </row>
    <row r="38" spans="1:21" x14ac:dyDescent="0.35">
      <c r="A38" s="16" t="s">
        <v>17</v>
      </c>
      <c r="B38" s="32">
        <v>2</v>
      </c>
      <c r="C38" s="32">
        <v>2</v>
      </c>
      <c r="D38" s="26">
        <v>1</v>
      </c>
      <c r="E38" s="32">
        <v>5</v>
      </c>
      <c r="F38" s="32">
        <v>3</v>
      </c>
      <c r="G38" s="26">
        <v>0.6</v>
      </c>
      <c r="H38" s="32">
        <v>6</v>
      </c>
      <c r="I38" s="32">
        <v>3</v>
      </c>
      <c r="J38" s="26">
        <v>0.5</v>
      </c>
      <c r="K38" s="32">
        <v>5</v>
      </c>
      <c r="L38" s="32">
        <v>5</v>
      </c>
      <c r="M38" s="26">
        <v>1</v>
      </c>
      <c r="N38" s="97">
        <v>5</v>
      </c>
      <c r="O38" s="97">
        <v>5</v>
      </c>
      <c r="P38" s="82">
        <f t="shared" ref="P38:P44" si="3">O38/N38</f>
        <v>1</v>
      </c>
      <c r="Q38" s="155" t="str">
        <f t="shared" si="0"/>
        <v>OK</v>
      </c>
      <c r="R38" t="s">
        <v>17</v>
      </c>
      <c r="S38">
        <v>5</v>
      </c>
      <c r="T38">
        <v>5</v>
      </c>
      <c r="U38" s="308">
        <v>1</v>
      </c>
    </row>
    <row r="39" spans="1:21" x14ac:dyDescent="0.35">
      <c r="A39" s="16" t="s">
        <v>358</v>
      </c>
      <c r="B39" s="32">
        <v>153</v>
      </c>
      <c r="C39" s="32">
        <v>123</v>
      </c>
      <c r="D39" s="26">
        <v>0.80392156862745101</v>
      </c>
      <c r="E39" s="32">
        <v>139</v>
      </c>
      <c r="F39" s="32">
        <v>122</v>
      </c>
      <c r="G39" s="26">
        <v>0.87769784172661869</v>
      </c>
      <c r="H39" s="32">
        <v>94</v>
      </c>
      <c r="I39" s="32">
        <v>82</v>
      </c>
      <c r="J39" s="26">
        <v>0.87234042553191493</v>
      </c>
      <c r="K39" s="32">
        <v>85</v>
      </c>
      <c r="L39" s="32">
        <v>85</v>
      </c>
      <c r="M39" s="26">
        <v>1</v>
      </c>
      <c r="N39" s="97">
        <v>50</v>
      </c>
      <c r="O39" s="97">
        <v>45</v>
      </c>
      <c r="P39" s="82">
        <f t="shared" si="3"/>
        <v>0.9</v>
      </c>
      <c r="Q39" s="155" t="str">
        <f t="shared" si="0"/>
        <v>OK</v>
      </c>
      <c r="R39" t="s">
        <v>358</v>
      </c>
      <c r="S39">
        <v>50</v>
      </c>
      <c r="T39">
        <v>45</v>
      </c>
      <c r="U39" s="308">
        <v>0.9</v>
      </c>
    </row>
    <row r="40" spans="1:21" x14ac:dyDescent="0.35">
      <c r="A40" s="16" t="s">
        <v>25</v>
      </c>
      <c r="B40" s="32">
        <v>40</v>
      </c>
      <c r="C40" s="32">
        <v>39</v>
      </c>
      <c r="D40" s="26">
        <v>0.97499999999999998</v>
      </c>
      <c r="E40" s="32">
        <v>42</v>
      </c>
      <c r="F40" s="32">
        <v>40</v>
      </c>
      <c r="G40" s="26">
        <v>0.95238095238095233</v>
      </c>
      <c r="H40" s="32"/>
      <c r="I40" s="32"/>
      <c r="J40" s="26"/>
      <c r="K40" s="32">
        <v>1</v>
      </c>
      <c r="L40" s="32">
        <v>1</v>
      </c>
      <c r="M40" s="26">
        <v>1</v>
      </c>
      <c r="N40" s="97">
        <v>19</v>
      </c>
      <c r="O40" s="97">
        <v>16</v>
      </c>
      <c r="P40" s="82">
        <f t="shared" si="3"/>
        <v>0.84210526315789469</v>
      </c>
      <c r="Q40" s="155" t="str">
        <f t="shared" si="0"/>
        <v>OK</v>
      </c>
      <c r="R40" t="s">
        <v>25</v>
      </c>
      <c r="S40">
        <v>19</v>
      </c>
      <c r="T40">
        <v>16</v>
      </c>
      <c r="U40" s="308">
        <v>0.84210526315789469</v>
      </c>
    </row>
    <row r="41" spans="1:21" x14ac:dyDescent="0.35">
      <c r="A41" s="16" t="s">
        <v>18</v>
      </c>
      <c r="B41" s="32">
        <v>48</v>
      </c>
      <c r="C41" s="32">
        <v>46</v>
      </c>
      <c r="D41" s="26">
        <v>0.95833333333333337</v>
      </c>
      <c r="E41" s="32">
        <v>64</v>
      </c>
      <c r="F41" s="32">
        <v>59</v>
      </c>
      <c r="G41" s="26">
        <v>0.921875</v>
      </c>
      <c r="H41" s="32">
        <v>42</v>
      </c>
      <c r="I41" s="32">
        <v>40</v>
      </c>
      <c r="J41" s="26">
        <v>0.95238095238095233</v>
      </c>
      <c r="K41" s="32">
        <v>39</v>
      </c>
      <c r="L41" s="32">
        <v>38</v>
      </c>
      <c r="M41" s="26">
        <v>0.97435897435897434</v>
      </c>
      <c r="N41" s="97">
        <v>31</v>
      </c>
      <c r="O41" s="97">
        <v>30</v>
      </c>
      <c r="P41" s="82">
        <f t="shared" si="3"/>
        <v>0.967741935483871</v>
      </c>
      <c r="Q41" s="155" t="str">
        <f t="shared" si="0"/>
        <v>OK</v>
      </c>
      <c r="R41" t="s">
        <v>18</v>
      </c>
      <c r="S41">
        <v>31</v>
      </c>
      <c r="T41">
        <v>30</v>
      </c>
      <c r="U41" s="308">
        <v>0.967741935483871</v>
      </c>
    </row>
    <row r="42" spans="1:21" x14ac:dyDescent="0.35">
      <c r="A42" s="16" t="s">
        <v>353</v>
      </c>
      <c r="B42" s="32">
        <v>135</v>
      </c>
      <c r="C42" s="32">
        <v>79</v>
      </c>
      <c r="D42" s="26">
        <v>0.58518518518518514</v>
      </c>
      <c r="E42" s="32">
        <v>135</v>
      </c>
      <c r="F42" s="32">
        <v>105</v>
      </c>
      <c r="G42" s="26">
        <v>0.77777777777777779</v>
      </c>
      <c r="H42" s="32">
        <v>100</v>
      </c>
      <c r="I42" s="32">
        <v>84</v>
      </c>
      <c r="J42" s="26">
        <v>0.84</v>
      </c>
      <c r="K42" s="32">
        <v>98</v>
      </c>
      <c r="L42" s="32">
        <v>73</v>
      </c>
      <c r="M42" s="26">
        <v>0.74489795918367352</v>
      </c>
      <c r="N42" s="97">
        <v>202</v>
      </c>
      <c r="O42" s="97">
        <v>155</v>
      </c>
      <c r="P42" s="82">
        <f t="shared" si="3"/>
        <v>0.76732673267326734</v>
      </c>
      <c r="Q42" s="155" t="str">
        <f t="shared" si="0"/>
        <v>OK</v>
      </c>
      <c r="R42" t="s">
        <v>353</v>
      </c>
      <c r="S42">
        <v>202</v>
      </c>
      <c r="T42">
        <v>155</v>
      </c>
      <c r="U42" s="308">
        <v>0.76732673267326734</v>
      </c>
    </row>
    <row r="43" spans="1:21" x14ac:dyDescent="0.35">
      <c r="A43" s="16" t="s">
        <v>354</v>
      </c>
      <c r="B43" s="32">
        <v>199</v>
      </c>
      <c r="C43" s="32">
        <v>180</v>
      </c>
      <c r="D43" s="26">
        <v>0.90452261306532666</v>
      </c>
      <c r="E43" s="32">
        <v>191</v>
      </c>
      <c r="F43" s="32">
        <v>189</v>
      </c>
      <c r="G43" s="26">
        <v>0.98952879581151831</v>
      </c>
      <c r="H43" s="32">
        <v>106</v>
      </c>
      <c r="I43" s="32">
        <v>87</v>
      </c>
      <c r="J43" s="26">
        <v>0.82075471698113212</v>
      </c>
      <c r="K43" s="32">
        <v>78</v>
      </c>
      <c r="L43" s="32">
        <v>76</v>
      </c>
      <c r="M43" s="26">
        <v>0.97435897435897434</v>
      </c>
      <c r="N43" s="97">
        <v>129</v>
      </c>
      <c r="O43" s="97">
        <v>124</v>
      </c>
      <c r="P43" s="82">
        <f t="shared" si="3"/>
        <v>0.96124031007751942</v>
      </c>
      <c r="Q43" s="155" t="str">
        <f t="shared" si="0"/>
        <v>OK</v>
      </c>
      <c r="R43" t="s">
        <v>354</v>
      </c>
      <c r="S43">
        <v>129</v>
      </c>
      <c r="T43">
        <v>124</v>
      </c>
      <c r="U43" s="308">
        <v>0.96124031007751942</v>
      </c>
    </row>
    <row r="44" spans="1:21" x14ac:dyDescent="0.35">
      <c r="A44" s="16" t="s">
        <v>409</v>
      </c>
      <c r="B44" s="32">
        <v>495</v>
      </c>
      <c r="C44" s="32">
        <v>315</v>
      </c>
      <c r="D44" s="26">
        <v>0.63636363636363635</v>
      </c>
      <c r="E44" s="32">
        <v>429</v>
      </c>
      <c r="F44" s="32">
        <v>342</v>
      </c>
      <c r="G44" s="26">
        <v>0.79720279720279719</v>
      </c>
      <c r="H44" s="32">
        <v>323</v>
      </c>
      <c r="I44" s="32">
        <v>243</v>
      </c>
      <c r="J44" s="26">
        <v>0.75232198142414863</v>
      </c>
      <c r="K44" s="32">
        <v>329</v>
      </c>
      <c r="L44" s="32">
        <v>244</v>
      </c>
      <c r="M44" s="26">
        <v>0.74164133738601823</v>
      </c>
      <c r="N44" s="97">
        <v>377</v>
      </c>
      <c r="O44" s="97">
        <v>299</v>
      </c>
      <c r="P44" s="82">
        <f t="shared" si="3"/>
        <v>0.7931034482758621</v>
      </c>
      <c r="Q44" s="155" t="str">
        <f t="shared" si="0"/>
        <v>OK</v>
      </c>
      <c r="R44" t="s">
        <v>409</v>
      </c>
      <c r="S44">
        <v>377</v>
      </c>
      <c r="T44">
        <v>299</v>
      </c>
      <c r="U44" s="308">
        <v>0.7931034482758621</v>
      </c>
    </row>
    <row r="45" spans="1:21" x14ac:dyDescent="0.35">
      <c r="A45" s="16" t="s">
        <v>28</v>
      </c>
      <c r="B45" s="32">
        <v>2</v>
      </c>
      <c r="C45" s="32">
        <v>1</v>
      </c>
      <c r="D45" s="26">
        <v>0.5</v>
      </c>
      <c r="E45" s="32">
        <v>3</v>
      </c>
      <c r="F45" s="32">
        <v>2</v>
      </c>
      <c r="G45" s="26">
        <v>0.66666666666666663</v>
      </c>
      <c r="H45" s="32"/>
      <c r="I45" s="32"/>
      <c r="J45" s="26"/>
      <c r="K45" s="32"/>
      <c r="L45" s="32"/>
      <c r="M45" s="26"/>
      <c r="N45" s="97"/>
      <c r="O45" s="97"/>
      <c r="P45" s="82"/>
      <c r="Q45" s="155" t="str">
        <f t="shared" si="0"/>
        <v>OK</v>
      </c>
      <c r="R45" t="s">
        <v>28</v>
      </c>
    </row>
    <row r="46" spans="1:21" x14ac:dyDescent="0.35">
      <c r="A46" s="16" t="s">
        <v>29</v>
      </c>
      <c r="B46" s="32"/>
      <c r="C46" s="32"/>
      <c r="D46" s="26"/>
      <c r="E46" s="32">
        <v>0</v>
      </c>
      <c r="F46" s="32"/>
      <c r="G46" s="26"/>
      <c r="H46" s="32"/>
      <c r="I46" s="32"/>
      <c r="J46" s="26"/>
      <c r="K46" s="32"/>
      <c r="L46" s="32"/>
      <c r="M46" s="26"/>
      <c r="N46" s="97"/>
      <c r="O46" s="97"/>
      <c r="P46" s="82"/>
      <c r="Q46" s="155" t="str">
        <f t="shared" si="0"/>
        <v>OK</v>
      </c>
      <c r="R46" t="s">
        <v>29</v>
      </c>
    </row>
    <row r="47" spans="1:21" x14ac:dyDescent="0.35">
      <c r="A47" s="16" t="s">
        <v>359</v>
      </c>
      <c r="B47" s="32">
        <v>22</v>
      </c>
      <c r="C47" s="32">
        <v>20</v>
      </c>
      <c r="D47" s="26">
        <v>0.90909090909090906</v>
      </c>
      <c r="E47" s="32">
        <v>19</v>
      </c>
      <c r="F47" s="32">
        <v>17</v>
      </c>
      <c r="G47" s="26">
        <v>0.89473684210526316</v>
      </c>
      <c r="H47" s="32">
        <v>15</v>
      </c>
      <c r="I47" s="32">
        <v>14</v>
      </c>
      <c r="J47" s="26">
        <v>0.93333333333333335</v>
      </c>
      <c r="K47" s="32">
        <v>17</v>
      </c>
      <c r="L47" s="32">
        <v>17</v>
      </c>
      <c r="M47" s="26">
        <v>1</v>
      </c>
      <c r="N47" s="97">
        <v>22</v>
      </c>
      <c r="O47" s="97">
        <v>22</v>
      </c>
      <c r="P47" s="82">
        <f>O47/N47</f>
        <v>1</v>
      </c>
      <c r="Q47" s="155" t="str">
        <f t="shared" si="0"/>
        <v>OK</v>
      </c>
      <c r="R47" t="s">
        <v>359</v>
      </c>
      <c r="S47">
        <v>22</v>
      </c>
      <c r="T47">
        <v>22</v>
      </c>
      <c r="U47" s="308">
        <v>1</v>
      </c>
    </row>
    <row r="48" spans="1:21" x14ac:dyDescent="0.35">
      <c r="A48" s="16" t="s">
        <v>30</v>
      </c>
      <c r="B48" s="32">
        <v>2</v>
      </c>
      <c r="C48" s="32">
        <v>2</v>
      </c>
      <c r="D48" s="26">
        <v>1</v>
      </c>
      <c r="E48" s="32">
        <v>2</v>
      </c>
      <c r="F48" s="32">
        <v>1</v>
      </c>
      <c r="G48" s="26">
        <v>0.5</v>
      </c>
      <c r="H48" s="32">
        <v>1</v>
      </c>
      <c r="I48" s="32">
        <v>1</v>
      </c>
      <c r="J48" s="26">
        <v>1</v>
      </c>
      <c r="K48" s="32">
        <v>1</v>
      </c>
      <c r="L48" s="32">
        <v>1</v>
      </c>
      <c r="M48" s="26">
        <v>1</v>
      </c>
      <c r="N48" s="97"/>
      <c r="O48" s="97"/>
      <c r="P48" s="82"/>
      <c r="Q48" s="155" t="str">
        <f t="shared" si="0"/>
        <v>OK</v>
      </c>
      <c r="R48" t="s">
        <v>30</v>
      </c>
    </row>
    <row r="49" spans="1:21" x14ac:dyDescent="0.35">
      <c r="A49" s="16" t="s">
        <v>31</v>
      </c>
      <c r="B49" s="32"/>
      <c r="C49" s="32"/>
      <c r="D49" s="26"/>
      <c r="E49" s="32">
        <v>0</v>
      </c>
      <c r="F49" s="32"/>
      <c r="G49" s="26"/>
      <c r="H49" s="32"/>
      <c r="I49" s="32"/>
      <c r="J49" s="26"/>
      <c r="K49" s="32"/>
      <c r="L49" s="32"/>
      <c r="M49" s="26"/>
      <c r="N49" s="97">
        <v>21</v>
      </c>
      <c r="O49" s="97">
        <v>21</v>
      </c>
      <c r="P49" s="82">
        <f>O49/N49</f>
        <v>1</v>
      </c>
      <c r="Q49" s="155" t="str">
        <f t="shared" si="0"/>
        <v>OK</v>
      </c>
      <c r="R49" t="s">
        <v>31</v>
      </c>
      <c r="S49">
        <v>21</v>
      </c>
      <c r="T49">
        <v>21</v>
      </c>
      <c r="U49" s="308">
        <v>1</v>
      </c>
    </row>
    <row r="50" spans="1:21" x14ac:dyDescent="0.35">
      <c r="A50" s="16" t="s">
        <v>32</v>
      </c>
      <c r="B50" s="32">
        <v>60</v>
      </c>
      <c r="C50" s="32">
        <v>44</v>
      </c>
      <c r="D50" s="26">
        <v>0.73333333333333328</v>
      </c>
      <c r="E50" s="32">
        <v>58</v>
      </c>
      <c r="F50" s="32">
        <v>56</v>
      </c>
      <c r="G50" s="26">
        <v>0.96551724137931039</v>
      </c>
      <c r="H50" s="32">
        <v>6</v>
      </c>
      <c r="I50" s="32">
        <v>6</v>
      </c>
      <c r="J50" s="26">
        <v>1</v>
      </c>
      <c r="K50" s="32">
        <v>7</v>
      </c>
      <c r="L50" s="32">
        <v>6</v>
      </c>
      <c r="M50" s="26">
        <v>0.8571428571428571</v>
      </c>
      <c r="N50" s="97">
        <v>8</v>
      </c>
      <c r="O50" s="97">
        <v>5</v>
      </c>
      <c r="P50" s="82">
        <f>O50/N50</f>
        <v>0.625</v>
      </c>
      <c r="Q50" s="155" t="str">
        <f t="shared" si="0"/>
        <v>OK</v>
      </c>
      <c r="R50" t="s">
        <v>32</v>
      </c>
      <c r="S50">
        <v>8</v>
      </c>
      <c r="T50">
        <v>5</v>
      </c>
      <c r="U50" s="308">
        <v>0.625</v>
      </c>
    </row>
    <row r="51" spans="1:21" x14ac:dyDescent="0.35">
      <c r="A51" s="16" t="s">
        <v>33</v>
      </c>
      <c r="B51" s="32">
        <v>39</v>
      </c>
      <c r="C51" s="32">
        <v>37</v>
      </c>
      <c r="D51" s="26">
        <v>0.94871794871794868</v>
      </c>
      <c r="E51" s="32">
        <v>40</v>
      </c>
      <c r="F51" s="32">
        <v>37</v>
      </c>
      <c r="G51" s="26">
        <v>0.92500000000000004</v>
      </c>
      <c r="H51" s="32">
        <v>15</v>
      </c>
      <c r="I51" s="32">
        <v>15</v>
      </c>
      <c r="J51" s="26">
        <v>1</v>
      </c>
      <c r="K51" s="32">
        <v>11</v>
      </c>
      <c r="L51" s="32">
        <v>9</v>
      </c>
      <c r="M51" s="26">
        <v>0.81818181818181823</v>
      </c>
      <c r="N51" s="97">
        <v>9</v>
      </c>
      <c r="O51" s="97">
        <v>7</v>
      </c>
      <c r="P51" s="82">
        <f>O51/N51</f>
        <v>0.77777777777777779</v>
      </c>
      <c r="Q51" s="155" t="str">
        <f t="shared" si="0"/>
        <v>OK</v>
      </c>
      <c r="R51" t="s">
        <v>33</v>
      </c>
      <c r="S51">
        <v>9</v>
      </c>
      <c r="T51">
        <v>7</v>
      </c>
      <c r="U51" s="308">
        <v>0.77777777777777779</v>
      </c>
    </row>
    <row r="52" spans="1:21" x14ac:dyDescent="0.35">
      <c r="A52" s="16"/>
      <c r="B52" s="32"/>
      <c r="C52" s="32"/>
      <c r="D52" s="33"/>
      <c r="E52" s="32"/>
      <c r="F52" s="32"/>
      <c r="G52" s="33"/>
      <c r="H52" s="32"/>
      <c r="I52" s="32"/>
      <c r="J52" s="33"/>
      <c r="K52" s="32"/>
      <c r="L52" s="32"/>
      <c r="M52" s="33"/>
      <c r="N52" s="97"/>
      <c r="O52" s="97"/>
      <c r="P52" s="84"/>
    </row>
    <row r="53" spans="1:21" ht="15" thickBot="1" x14ac:dyDescent="0.4">
      <c r="A53" s="25" t="s">
        <v>113</v>
      </c>
      <c r="B53" s="28">
        <v>10949</v>
      </c>
      <c r="C53" s="28">
        <v>9071</v>
      </c>
      <c r="D53" s="27">
        <v>0.8284774865284501</v>
      </c>
      <c r="E53" s="28">
        <v>11125</v>
      </c>
      <c r="F53" s="28">
        <v>10166</v>
      </c>
      <c r="G53" s="27">
        <v>0.91379775280898878</v>
      </c>
      <c r="H53" s="28">
        <v>9799</v>
      </c>
      <c r="I53" s="28">
        <v>8838</v>
      </c>
      <c r="J53" s="27">
        <v>0.90192876824165735</v>
      </c>
      <c r="K53" s="28">
        <v>9857</v>
      </c>
      <c r="L53" s="28">
        <v>8637</v>
      </c>
      <c r="M53" s="27">
        <v>0.87623009029116361</v>
      </c>
      <c r="N53" s="96">
        <f>SUM(N6:N51)</f>
        <v>10617</v>
      </c>
      <c r="O53" s="96">
        <f>SUM(O6:O51)</f>
        <v>9288</v>
      </c>
      <c r="P53" s="83">
        <f>O53/N53</f>
        <v>0.87482339643967222</v>
      </c>
      <c r="R53" t="s">
        <v>394</v>
      </c>
      <c r="S53">
        <v>10617</v>
      </c>
      <c r="T53">
        <v>9288</v>
      </c>
      <c r="U53" s="308">
        <v>0.87482339643967222</v>
      </c>
    </row>
    <row r="54" spans="1:21" ht="15" thickTop="1" x14ac:dyDescent="0.35"/>
  </sheetData>
  <sortState ref="A6:P51">
    <sortCondition ref="A6"/>
  </sortState>
  <pageMargins left="0.7" right="0.7" top="0.75" bottom="0.75" header="0.3" footer="0.3"/>
  <pageSetup orientation="portrait" horizontalDpi="1200" verticalDpi="1200"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AQ70"/>
  <sheetViews>
    <sheetView workbookViewId="0">
      <pane xSplit="1" ySplit="5" topLeftCell="AE45" activePane="bottomRight" state="frozen"/>
      <selection activeCell="D5" sqref="D5:E5"/>
      <selection pane="topRight" activeCell="D5" sqref="D5:E5"/>
      <selection pane="bottomLeft" activeCell="D5" sqref="D5:E5"/>
      <selection pane="bottomRight" activeCell="D5" sqref="D5:E5"/>
    </sheetView>
  </sheetViews>
  <sheetFormatPr defaultRowHeight="14.5" x14ac:dyDescent="0.35"/>
  <cols>
    <col min="1" max="1" width="49.26953125" bestFit="1" customWidth="1"/>
    <col min="4" max="4" width="12.54296875" bestFit="1" customWidth="1"/>
    <col min="8" max="8" width="1.7265625" customWidth="1"/>
    <col min="11" max="11" width="12.54296875" bestFit="1" customWidth="1"/>
    <col min="15" max="15" width="1.7265625" customWidth="1"/>
    <col min="18" max="18" width="12.54296875" bestFit="1" customWidth="1"/>
    <col min="22" max="22" width="1.7265625" customWidth="1"/>
    <col min="25" max="25" width="12.54296875" bestFit="1" customWidth="1"/>
    <col min="29" max="29" width="1.7265625" customWidth="1"/>
    <col min="32" max="32" width="12.54296875" bestFit="1" customWidth="1"/>
    <col min="37" max="37" width="38" customWidth="1"/>
    <col min="38" max="38" width="12" bestFit="1" customWidth="1"/>
    <col min="40" max="40" width="14.54296875" style="218" bestFit="1" customWidth="1"/>
    <col min="43" max="43" width="8.7265625" style="217"/>
  </cols>
  <sheetData>
    <row r="1" spans="1:43" x14ac:dyDescent="0.35">
      <c r="A1" s="29">
        <v>1</v>
      </c>
      <c r="B1" s="29">
        <v>2</v>
      </c>
      <c r="C1" s="29">
        <v>3</v>
      </c>
      <c r="D1" s="29">
        <v>4</v>
      </c>
      <c r="E1" s="29">
        <v>5</v>
      </c>
      <c r="F1" s="29">
        <v>6</v>
      </c>
      <c r="G1" s="29">
        <v>7</v>
      </c>
      <c r="H1" s="29">
        <v>8</v>
      </c>
      <c r="I1" s="29">
        <v>9</v>
      </c>
      <c r="J1" s="29">
        <v>10</v>
      </c>
      <c r="K1" s="29">
        <v>11</v>
      </c>
      <c r="L1" s="29">
        <v>12</v>
      </c>
      <c r="M1" s="29">
        <v>13</v>
      </c>
      <c r="N1" s="29">
        <v>14</v>
      </c>
      <c r="O1" s="29">
        <v>15</v>
      </c>
      <c r="P1" s="29">
        <v>16</v>
      </c>
      <c r="Q1" s="29">
        <v>17</v>
      </c>
      <c r="R1" s="29">
        <v>18</v>
      </c>
      <c r="S1" s="29">
        <v>19</v>
      </c>
      <c r="T1" s="29">
        <v>20</v>
      </c>
      <c r="U1" s="29">
        <v>21</v>
      </c>
      <c r="V1" s="29">
        <v>22</v>
      </c>
      <c r="W1" s="29">
        <v>23</v>
      </c>
      <c r="X1" s="29">
        <v>24</v>
      </c>
      <c r="Y1" s="29">
        <v>25</v>
      </c>
      <c r="Z1" s="29">
        <v>26</v>
      </c>
      <c r="AA1" s="29">
        <v>27</v>
      </c>
      <c r="AB1" s="29">
        <v>28</v>
      </c>
      <c r="AC1" s="29">
        <v>29</v>
      </c>
      <c r="AD1" s="29">
        <v>30</v>
      </c>
      <c r="AE1" s="29">
        <v>31</v>
      </c>
      <c r="AF1" s="29">
        <v>32</v>
      </c>
      <c r="AG1" s="29">
        <v>33</v>
      </c>
      <c r="AH1" s="29">
        <v>34</v>
      </c>
      <c r="AI1" s="29">
        <v>35</v>
      </c>
    </row>
    <row r="2" spans="1:43" x14ac:dyDescent="0.35">
      <c r="B2" s="38"/>
      <c r="C2" s="38"/>
      <c r="D2" s="38"/>
      <c r="E2" s="38"/>
      <c r="F2" s="38"/>
      <c r="G2" s="38"/>
      <c r="H2" s="37"/>
      <c r="I2" s="38"/>
      <c r="J2" s="38"/>
      <c r="K2" s="38"/>
      <c r="L2" s="38"/>
      <c r="M2" s="38"/>
      <c r="N2" s="38"/>
      <c r="O2" s="37"/>
      <c r="P2" s="38"/>
      <c r="Q2" s="38"/>
      <c r="R2" s="38"/>
      <c r="S2" s="38"/>
      <c r="T2" s="38"/>
      <c r="U2" s="38"/>
      <c r="V2" s="37"/>
      <c r="W2" s="38"/>
      <c r="X2" s="38"/>
      <c r="Y2" s="38"/>
      <c r="Z2" s="38"/>
      <c r="AA2" s="38"/>
      <c r="AB2" s="38"/>
      <c r="AC2" s="37"/>
      <c r="AD2" s="38"/>
      <c r="AE2" s="38"/>
      <c r="AF2" s="38"/>
      <c r="AG2" s="38"/>
      <c r="AH2" s="38"/>
      <c r="AI2" s="38"/>
    </row>
    <row r="3" spans="1:43" x14ac:dyDescent="0.35">
      <c r="B3" s="423" t="s">
        <v>126</v>
      </c>
      <c r="C3" s="423"/>
      <c r="D3" s="423"/>
      <c r="E3" s="423" t="s">
        <v>129</v>
      </c>
      <c r="F3" s="423"/>
      <c r="G3" s="423"/>
      <c r="H3" s="71"/>
      <c r="I3" s="423" t="s">
        <v>126</v>
      </c>
      <c r="J3" s="423"/>
      <c r="K3" s="423"/>
      <c r="L3" s="423" t="s">
        <v>129</v>
      </c>
      <c r="M3" s="423"/>
      <c r="N3" s="423"/>
      <c r="O3" s="71"/>
      <c r="P3" s="423" t="s">
        <v>126</v>
      </c>
      <c r="Q3" s="423"/>
      <c r="R3" s="423"/>
      <c r="S3" s="423" t="s">
        <v>129</v>
      </c>
      <c r="T3" s="423"/>
      <c r="U3" s="423"/>
      <c r="V3" s="71"/>
      <c r="W3" s="423" t="s">
        <v>126</v>
      </c>
      <c r="X3" s="423"/>
      <c r="Y3" s="423"/>
      <c r="Z3" s="423" t="s">
        <v>129</v>
      </c>
      <c r="AA3" s="423"/>
      <c r="AB3" s="423"/>
      <c r="AC3" s="71"/>
      <c r="AD3" s="423" t="s">
        <v>126</v>
      </c>
      <c r="AE3" s="423"/>
      <c r="AF3" s="423"/>
      <c r="AG3" s="423" t="s">
        <v>129</v>
      </c>
      <c r="AH3" s="423"/>
      <c r="AI3" s="423"/>
    </row>
    <row r="4" spans="1:43" x14ac:dyDescent="0.35">
      <c r="B4" s="15">
        <v>2017</v>
      </c>
      <c r="C4" s="15">
        <v>2017</v>
      </c>
      <c r="D4" s="15">
        <v>2017</v>
      </c>
      <c r="E4" s="42">
        <v>2017</v>
      </c>
      <c r="F4" s="42">
        <v>2017</v>
      </c>
      <c r="G4" s="42">
        <v>2017</v>
      </c>
      <c r="H4" s="15"/>
      <c r="I4" s="15">
        <v>2018</v>
      </c>
      <c r="J4" s="15">
        <v>2018</v>
      </c>
      <c r="K4" s="15">
        <v>2018</v>
      </c>
      <c r="L4" s="42">
        <v>2018</v>
      </c>
      <c r="M4" s="42">
        <v>2018</v>
      </c>
      <c r="N4" s="42">
        <v>2018</v>
      </c>
      <c r="O4" s="15"/>
      <c r="P4" s="15">
        <v>2019</v>
      </c>
      <c r="Q4" s="15">
        <v>2019</v>
      </c>
      <c r="R4" s="15">
        <v>2019</v>
      </c>
      <c r="S4" s="42">
        <v>2019</v>
      </c>
      <c r="T4" s="42">
        <v>2019</v>
      </c>
      <c r="U4" s="42">
        <v>2019</v>
      </c>
      <c r="V4" s="15"/>
      <c r="W4" s="15">
        <v>2020</v>
      </c>
      <c r="X4" s="15">
        <v>2020</v>
      </c>
      <c r="Y4" s="15">
        <v>2020</v>
      </c>
      <c r="Z4" s="42">
        <v>2020</v>
      </c>
      <c r="AA4" s="42">
        <v>2020</v>
      </c>
      <c r="AB4" s="42">
        <v>2020</v>
      </c>
      <c r="AC4" s="15"/>
      <c r="AD4" s="42">
        <v>2021</v>
      </c>
      <c r="AE4" s="42">
        <v>2021</v>
      </c>
      <c r="AF4" s="42">
        <v>2021</v>
      </c>
      <c r="AG4" s="42">
        <v>2021</v>
      </c>
      <c r="AH4" s="42">
        <v>2021</v>
      </c>
      <c r="AI4" s="42">
        <v>2021</v>
      </c>
    </row>
    <row r="5" spans="1:43" ht="43.5" x14ac:dyDescent="0.35">
      <c r="A5" s="39" t="s">
        <v>36</v>
      </c>
      <c r="B5" s="41" t="s">
        <v>84</v>
      </c>
      <c r="C5" s="40" t="s">
        <v>127</v>
      </c>
      <c r="D5" s="41" t="s">
        <v>128</v>
      </c>
      <c r="E5" s="40" t="s">
        <v>85</v>
      </c>
      <c r="F5" s="40" t="s">
        <v>130</v>
      </c>
      <c r="G5" s="40" t="s">
        <v>43</v>
      </c>
      <c r="H5" s="41"/>
      <c r="I5" s="41" t="s">
        <v>84</v>
      </c>
      <c r="J5" s="40" t="s">
        <v>127</v>
      </c>
      <c r="K5" s="41" t="s">
        <v>128</v>
      </c>
      <c r="L5" s="40" t="s">
        <v>85</v>
      </c>
      <c r="M5" s="40" t="s">
        <v>130</v>
      </c>
      <c r="N5" s="40" t="s">
        <v>43</v>
      </c>
      <c r="O5" s="41"/>
      <c r="P5" s="41" t="s">
        <v>84</v>
      </c>
      <c r="Q5" s="40" t="s">
        <v>127</v>
      </c>
      <c r="R5" s="41" t="s">
        <v>128</v>
      </c>
      <c r="S5" s="40" t="s">
        <v>85</v>
      </c>
      <c r="T5" s="40" t="s">
        <v>130</v>
      </c>
      <c r="U5" s="40" t="s">
        <v>43</v>
      </c>
      <c r="V5" s="41"/>
      <c r="W5" s="41" t="s">
        <v>84</v>
      </c>
      <c r="X5" s="40" t="s">
        <v>127</v>
      </c>
      <c r="Y5" s="41" t="s">
        <v>128</v>
      </c>
      <c r="Z5" s="40" t="s">
        <v>85</v>
      </c>
      <c r="AA5" s="40" t="s">
        <v>130</v>
      </c>
      <c r="AB5" s="40" t="s">
        <v>43</v>
      </c>
      <c r="AC5" s="41"/>
      <c r="AD5" s="41" t="s">
        <v>399</v>
      </c>
      <c r="AE5" s="41" t="s">
        <v>127</v>
      </c>
      <c r="AF5" s="41" t="s">
        <v>128</v>
      </c>
      <c r="AG5" s="40" t="s">
        <v>85</v>
      </c>
      <c r="AH5" s="40" t="s">
        <v>130</v>
      </c>
      <c r="AI5" s="40" t="s">
        <v>43</v>
      </c>
      <c r="AL5" s="41" t="s">
        <v>399</v>
      </c>
      <c r="AM5" s="41" t="s">
        <v>127</v>
      </c>
      <c r="AN5" s="41" t="s">
        <v>128</v>
      </c>
      <c r="AO5" s="40" t="s">
        <v>85</v>
      </c>
      <c r="AP5" s="40" t="s">
        <v>130</v>
      </c>
      <c r="AQ5" s="40" t="s">
        <v>43</v>
      </c>
    </row>
    <row r="6" spans="1:43" x14ac:dyDescent="0.35">
      <c r="A6" s="16" t="s">
        <v>345</v>
      </c>
      <c r="B6" s="32">
        <v>4</v>
      </c>
      <c r="C6" s="32">
        <v>376</v>
      </c>
      <c r="D6" s="34">
        <v>274706.54000000004</v>
      </c>
      <c r="E6" s="73">
        <v>4</v>
      </c>
      <c r="F6" s="73">
        <v>3</v>
      </c>
      <c r="G6" s="26">
        <v>0.75</v>
      </c>
      <c r="H6" s="34"/>
      <c r="I6" s="32">
        <v>2</v>
      </c>
      <c r="J6" s="32">
        <v>332</v>
      </c>
      <c r="K6" s="34">
        <v>196266.84</v>
      </c>
      <c r="L6" s="73">
        <v>5</v>
      </c>
      <c r="M6" s="73">
        <v>3</v>
      </c>
      <c r="N6" s="26">
        <v>0.6</v>
      </c>
      <c r="O6" s="34"/>
      <c r="P6" s="32">
        <v>2</v>
      </c>
      <c r="Q6" s="32">
        <v>298</v>
      </c>
      <c r="R6" s="34">
        <v>91632.41</v>
      </c>
      <c r="S6" s="73">
        <v>3</v>
      </c>
      <c r="T6" s="73">
        <v>2</v>
      </c>
      <c r="U6" s="26">
        <v>0.66666666666666663</v>
      </c>
      <c r="V6" s="34"/>
      <c r="W6" s="32">
        <v>2</v>
      </c>
      <c r="X6" s="32">
        <v>207</v>
      </c>
      <c r="Y6" s="34">
        <v>146575.5</v>
      </c>
      <c r="Z6" s="73">
        <v>2</v>
      </c>
      <c r="AA6" s="73">
        <v>1</v>
      </c>
      <c r="AB6" s="26">
        <v>0.5</v>
      </c>
      <c r="AC6" s="34"/>
      <c r="AD6" s="97">
        <v>2</v>
      </c>
      <c r="AE6" s="97">
        <v>82</v>
      </c>
      <c r="AF6" s="89">
        <v>46759.71</v>
      </c>
      <c r="AG6" s="97">
        <v>7</v>
      </c>
      <c r="AH6" s="97">
        <v>6</v>
      </c>
      <c r="AI6" s="82">
        <f>AH6/AG6</f>
        <v>0.8571428571428571</v>
      </c>
      <c r="AJ6" s="155" t="str">
        <f t="shared" ref="AJ6:AJ51" si="0">IF(AK6=A6,"OK","No")</f>
        <v>OK</v>
      </c>
      <c r="AK6" t="s">
        <v>345</v>
      </c>
      <c r="AL6">
        <v>2</v>
      </c>
      <c r="AM6">
        <v>82</v>
      </c>
      <c r="AN6" s="218">
        <v>46759.71</v>
      </c>
      <c r="AO6">
        <v>7</v>
      </c>
      <c r="AP6">
        <v>6</v>
      </c>
      <c r="AQ6" s="217">
        <v>0.8571428571428571</v>
      </c>
    </row>
    <row r="7" spans="1:43" x14ac:dyDescent="0.35">
      <c r="A7" s="16" t="s">
        <v>21</v>
      </c>
      <c r="B7" s="32">
        <v>12</v>
      </c>
      <c r="C7" s="32">
        <v>785</v>
      </c>
      <c r="D7" s="34">
        <v>24161812.529999997</v>
      </c>
      <c r="E7" s="73">
        <v>7</v>
      </c>
      <c r="F7" s="73">
        <v>3</v>
      </c>
      <c r="G7" s="26">
        <v>0.42857142857142855</v>
      </c>
      <c r="H7" s="34"/>
      <c r="I7" s="32">
        <v>6</v>
      </c>
      <c r="J7" s="32">
        <v>746</v>
      </c>
      <c r="K7" s="34">
        <v>24489797.580000006</v>
      </c>
      <c r="L7" s="73">
        <v>28</v>
      </c>
      <c r="M7" s="73">
        <v>21</v>
      </c>
      <c r="N7" s="26">
        <v>0.75</v>
      </c>
      <c r="O7" s="34"/>
      <c r="P7" s="32">
        <v>9</v>
      </c>
      <c r="Q7" s="32">
        <v>785</v>
      </c>
      <c r="R7" s="34">
        <v>26698307.25</v>
      </c>
      <c r="S7" s="73">
        <v>12</v>
      </c>
      <c r="T7" s="73">
        <v>7</v>
      </c>
      <c r="U7" s="26">
        <v>0.58333333333333337</v>
      </c>
      <c r="V7" s="34"/>
      <c r="W7" s="32">
        <v>7</v>
      </c>
      <c r="X7" s="32">
        <v>629</v>
      </c>
      <c r="Y7" s="34">
        <v>21749553.759999998</v>
      </c>
      <c r="Z7" s="73">
        <v>11</v>
      </c>
      <c r="AA7" s="73">
        <v>10</v>
      </c>
      <c r="AB7" s="26">
        <v>0.90909090909090906</v>
      </c>
      <c r="AC7" s="34"/>
      <c r="AD7" s="97">
        <v>7</v>
      </c>
      <c r="AE7" s="97">
        <v>216</v>
      </c>
      <c r="AF7" s="89">
        <v>8233622.9200000009</v>
      </c>
      <c r="AG7" s="97">
        <v>20</v>
      </c>
      <c r="AH7" s="97">
        <v>15</v>
      </c>
      <c r="AI7" s="82">
        <f>AH7/AG7</f>
        <v>0.75</v>
      </c>
      <c r="AJ7" s="155" t="str">
        <f t="shared" si="0"/>
        <v>OK</v>
      </c>
      <c r="AK7" s="16" t="s">
        <v>21</v>
      </c>
      <c r="AL7">
        <v>7</v>
      </c>
      <c r="AM7">
        <v>216</v>
      </c>
      <c r="AN7" s="218">
        <v>8233622.9200000009</v>
      </c>
      <c r="AO7">
        <v>20</v>
      </c>
      <c r="AP7">
        <v>15</v>
      </c>
      <c r="AQ7" s="217">
        <v>0.75</v>
      </c>
    </row>
    <row r="8" spans="1:43" x14ac:dyDescent="0.35">
      <c r="A8" s="16" t="s">
        <v>357</v>
      </c>
      <c r="B8" s="32"/>
      <c r="C8" s="32"/>
      <c r="D8" s="34"/>
      <c r="E8" s="73"/>
      <c r="F8" s="73"/>
      <c r="G8" s="26"/>
      <c r="H8" s="34"/>
      <c r="I8" s="32"/>
      <c r="J8" s="32"/>
      <c r="K8" s="34"/>
      <c r="L8" s="73"/>
      <c r="M8" s="73"/>
      <c r="N8" s="26"/>
      <c r="O8" s="34"/>
      <c r="P8" s="32"/>
      <c r="Q8" s="32"/>
      <c r="R8" s="34"/>
      <c r="S8" s="73"/>
      <c r="T8" s="73"/>
      <c r="U8" s="26"/>
      <c r="V8" s="34"/>
      <c r="W8" s="32"/>
      <c r="X8" s="32"/>
      <c r="Y8" s="34"/>
      <c r="Z8" s="73"/>
      <c r="AA8" s="73"/>
      <c r="AB8" s="26"/>
      <c r="AC8" s="34"/>
      <c r="AD8" s="97"/>
      <c r="AE8" s="97"/>
      <c r="AF8" s="89"/>
      <c r="AG8" s="97"/>
      <c r="AH8" s="97"/>
      <c r="AI8" s="82"/>
      <c r="AJ8" s="155" t="str">
        <f t="shared" si="0"/>
        <v>OK</v>
      </c>
      <c r="AK8" s="16" t="s">
        <v>357</v>
      </c>
    </row>
    <row r="9" spans="1:43" x14ac:dyDescent="0.35">
      <c r="A9" s="16" t="s">
        <v>0</v>
      </c>
      <c r="B9" s="32">
        <v>42</v>
      </c>
      <c r="C9" s="32">
        <v>534</v>
      </c>
      <c r="D9" s="34">
        <v>4409479.26</v>
      </c>
      <c r="E9" s="73">
        <v>46</v>
      </c>
      <c r="F9" s="73">
        <v>33</v>
      </c>
      <c r="G9" s="26">
        <v>0.71739130434782605</v>
      </c>
      <c r="H9" s="34"/>
      <c r="I9" s="32">
        <v>25</v>
      </c>
      <c r="J9" s="32">
        <v>484</v>
      </c>
      <c r="K9" s="34">
        <v>2468682.7699999996</v>
      </c>
      <c r="L9" s="73">
        <v>81</v>
      </c>
      <c r="M9" s="73">
        <v>31</v>
      </c>
      <c r="N9" s="26">
        <v>0.38271604938271603</v>
      </c>
      <c r="O9" s="34"/>
      <c r="P9" s="32">
        <v>31</v>
      </c>
      <c r="Q9" s="32">
        <v>535</v>
      </c>
      <c r="R9" s="34">
        <v>3042992.2</v>
      </c>
      <c r="S9" s="73">
        <v>72</v>
      </c>
      <c r="T9" s="73">
        <v>37</v>
      </c>
      <c r="U9" s="26">
        <v>0.51388888888888884</v>
      </c>
      <c r="V9" s="34"/>
      <c r="W9" s="32">
        <v>27</v>
      </c>
      <c r="X9" s="32">
        <v>367</v>
      </c>
      <c r="Y9" s="34">
        <v>3728828.3200000003</v>
      </c>
      <c r="Z9" s="73">
        <v>78</v>
      </c>
      <c r="AA9" s="73">
        <v>35</v>
      </c>
      <c r="AB9" s="26">
        <v>0.44871794871794873</v>
      </c>
      <c r="AC9" s="34"/>
      <c r="AD9" s="97">
        <v>20</v>
      </c>
      <c r="AE9" s="97">
        <v>176</v>
      </c>
      <c r="AF9" s="89">
        <v>2514240.02</v>
      </c>
      <c r="AG9" s="97">
        <v>79</v>
      </c>
      <c r="AH9" s="97">
        <v>35</v>
      </c>
      <c r="AI9" s="82">
        <f t="shared" ref="AI9:AI23" si="1">AH9/AG9</f>
        <v>0.44303797468354428</v>
      </c>
      <c r="AJ9" s="155" t="str">
        <f t="shared" si="0"/>
        <v>OK</v>
      </c>
      <c r="AK9" s="16" t="s">
        <v>0</v>
      </c>
      <c r="AL9">
        <v>20</v>
      </c>
      <c r="AM9">
        <v>176</v>
      </c>
      <c r="AN9" s="218">
        <v>2514240.02</v>
      </c>
      <c r="AO9">
        <v>79</v>
      </c>
      <c r="AP9">
        <v>35</v>
      </c>
      <c r="AQ9" s="217">
        <v>0.44303797468354428</v>
      </c>
    </row>
    <row r="10" spans="1:43" x14ac:dyDescent="0.35">
      <c r="A10" s="16" t="s">
        <v>1</v>
      </c>
      <c r="B10" s="32">
        <v>35</v>
      </c>
      <c r="C10" s="32">
        <v>1058</v>
      </c>
      <c r="D10" s="34">
        <v>2567076.66</v>
      </c>
      <c r="E10" s="73">
        <v>47</v>
      </c>
      <c r="F10" s="73">
        <v>40</v>
      </c>
      <c r="G10" s="26">
        <v>0.85106382978723405</v>
      </c>
      <c r="H10" s="34"/>
      <c r="I10" s="32">
        <v>17</v>
      </c>
      <c r="J10" s="32">
        <v>970</v>
      </c>
      <c r="K10" s="34">
        <v>2115535.4000000004</v>
      </c>
      <c r="L10" s="73">
        <v>122</v>
      </c>
      <c r="M10" s="73">
        <v>69</v>
      </c>
      <c r="N10" s="26">
        <v>0.56557377049180324</v>
      </c>
      <c r="O10" s="34"/>
      <c r="P10" s="32">
        <v>18</v>
      </c>
      <c r="Q10" s="32">
        <v>901</v>
      </c>
      <c r="R10" s="34">
        <v>2309734.89</v>
      </c>
      <c r="S10" s="73">
        <v>53</v>
      </c>
      <c r="T10" s="73">
        <v>44</v>
      </c>
      <c r="U10" s="26">
        <v>0.83018867924528306</v>
      </c>
      <c r="V10" s="34"/>
      <c r="W10" s="32">
        <v>15</v>
      </c>
      <c r="X10" s="32">
        <v>697</v>
      </c>
      <c r="Y10" s="34">
        <v>2085295.4199999997</v>
      </c>
      <c r="Z10" s="73">
        <v>49</v>
      </c>
      <c r="AA10" s="73">
        <v>42</v>
      </c>
      <c r="AB10" s="26">
        <v>0.8571428571428571</v>
      </c>
      <c r="AC10" s="34"/>
      <c r="AD10" s="97">
        <v>5</v>
      </c>
      <c r="AE10" s="97">
        <v>74</v>
      </c>
      <c r="AF10" s="89">
        <v>744880.54000000027</v>
      </c>
      <c r="AG10" s="97">
        <v>49</v>
      </c>
      <c r="AH10" s="97">
        <v>38</v>
      </c>
      <c r="AI10" s="82">
        <f t="shared" si="1"/>
        <v>0.77551020408163263</v>
      </c>
      <c r="AJ10" s="155" t="str">
        <f t="shared" si="0"/>
        <v>OK</v>
      </c>
      <c r="AK10" s="16" t="s">
        <v>1</v>
      </c>
      <c r="AL10">
        <v>5</v>
      </c>
      <c r="AM10">
        <v>74</v>
      </c>
      <c r="AN10" s="218">
        <v>744880.54000000027</v>
      </c>
      <c r="AO10">
        <v>49</v>
      </c>
      <c r="AP10">
        <v>38</v>
      </c>
      <c r="AQ10" s="217">
        <v>0.77551020408163263</v>
      </c>
    </row>
    <row r="11" spans="1:43" x14ac:dyDescent="0.35">
      <c r="A11" s="16" t="s">
        <v>2</v>
      </c>
      <c r="B11" s="32">
        <v>2</v>
      </c>
      <c r="C11" s="32">
        <v>26</v>
      </c>
      <c r="D11" s="34">
        <v>57126.659999999996</v>
      </c>
      <c r="E11" s="73">
        <v>3</v>
      </c>
      <c r="F11" s="73">
        <v>2</v>
      </c>
      <c r="G11" s="26">
        <v>0.66666666666666663</v>
      </c>
      <c r="H11" s="34"/>
      <c r="I11" s="32">
        <v>1</v>
      </c>
      <c r="J11" s="32">
        <v>25</v>
      </c>
      <c r="K11" s="34">
        <v>30515.87</v>
      </c>
      <c r="L11" s="73">
        <v>4</v>
      </c>
      <c r="M11" s="73">
        <v>3</v>
      </c>
      <c r="N11" s="26">
        <v>0.75</v>
      </c>
      <c r="O11" s="34"/>
      <c r="P11" s="32">
        <v>1</v>
      </c>
      <c r="Q11" s="32">
        <v>23</v>
      </c>
      <c r="R11" s="34">
        <v>5499945.7800000003</v>
      </c>
      <c r="S11" s="73">
        <v>2</v>
      </c>
      <c r="T11" s="73">
        <v>2</v>
      </c>
      <c r="U11" s="26">
        <v>1</v>
      </c>
      <c r="V11" s="34"/>
      <c r="W11" s="32">
        <v>1</v>
      </c>
      <c r="X11" s="32">
        <v>19</v>
      </c>
      <c r="Y11" s="34">
        <v>217833.23</v>
      </c>
      <c r="Z11" s="73">
        <v>2</v>
      </c>
      <c r="AA11" s="73">
        <v>1</v>
      </c>
      <c r="AB11" s="26">
        <v>0.5</v>
      </c>
      <c r="AC11" s="34"/>
      <c r="AD11" s="97">
        <v>1</v>
      </c>
      <c r="AE11" s="97">
        <v>11</v>
      </c>
      <c r="AF11" s="89">
        <v>41478.160000000003</v>
      </c>
      <c r="AG11" s="97">
        <v>2</v>
      </c>
      <c r="AH11" s="97">
        <v>2</v>
      </c>
      <c r="AI11" s="82">
        <f t="shared" si="1"/>
        <v>1</v>
      </c>
      <c r="AJ11" s="155" t="str">
        <f t="shared" si="0"/>
        <v>OK</v>
      </c>
      <c r="AK11" s="16" t="s">
        <v>2</v>
      </c>
      <c r="AL11">
        <v>1</v>
      </c>
      <c r="AM11">
        <v>11</v>
      </c>
      <c r="AN11" s="218">
        <v>41478.160000000003</v>
      </c>
      <c r="AO11">
        <v>2</v>
      </c>
      <c r="AP11">
        <v>2</v>
      </c>
      <c r="AQ11" s="217">
        <v>1</v>
      </c>
    </row>
    <row r="12" spans="1:43" x14ac:dyDescent="0.35">
      <c r="A12" s="16" t="s">
        <v>26</v>
      </c>
      <c r="B12" s="32">
        <v>1</v>
      </c>
      <c r="C12" s="32">
        <v>42</v>
      </c>
      <c r="D12" s="34">
        <v>102396.71</v>
      </c>
      <c r="E12" s="73">
        <v>1</v>
      </c>
      <c r="F12" s="73">
        <v>1</v>
      </c>
      <c r="G12" s="26">
        <v>1</v>
      </c>
      <c r="H12" s="34"/>
      <c r="I12" s="32">
        <v>1</v>
      </c>
      <c r="J12" s="32">
        <v>33</v>
      </c>
      <c r="K12" s="34">
        <v>84197.51</v>
      </c>
      <c r="L12" s="73">
        <v>4</v>
      </c>
      <c r="M12" s="73">
        <v>2</v>
      </c>
      <c r="N12" s="26">
        <v>0.5</v>
      </c>
      <c r="O12" s="34"/>
      <c r="P12" s="32">
        <v>1</v>
      </c>
      <c r="Q12" s="32">
        <v>49</v>
      </c>
      <c r="R12" s="34">
        <v>64675.92</v>
      </c>
      <c r="S12" s="73">
        <v>3</v>
      </c>
      <c r="T12" s="73">
        <v>1</v>
      </c>
      <c r="U12" s="26">
        <v>0.33333333333333331</v>
      </c>
      <c r="V12" s="34"/>
      <c r="W12" s="32">
        <v>1</v>
      </c>
      <c r="X12" s="32">
        <v>37</v>
      </c>
      <c r="Y12" s="34">
        <v>71768.75</v>
      </c>
      <c r="Z12" s="73">
        <v>3</v>
      </c>
      <c r="AA12" s="73">
        <v>2</v>
      </c>
      <c r="AB12" s="26">
        <v>0.66666666666666663</v>
      </c>
      <c r="AC12" s="34"/>
      <c r="AD12" s="97">
        <v>1</v>
      </c>
      <c r="AE12" s="97">
        <v>29</v>
      </c>
      <c r="AF12" s="89">
        <v>139889.59000000003</v>
      </c>
      <c r="AG12" s="97">
        <v>3</v>
      </c>
      <c r="AH12" s="97">
        <v>2</v>
      </c>
      <c r="AI12" s="82">
        <f t="shared" si="1"/>
        <v>0.66666666666666663</v>
      </c>
      <c r="AJ12" s="155" t="str">
        <f t="shared" si="0"/>
        <v>OK</v>
      </c>
      <c r="AK12" s="16" t="s">
        <v>26</v>
      </c>
      <c r="AL12">
        <v>1</v>
      </c>
      <c r="AM12">
        <v>29</v>
      </c>
      <c r="AN12" s="218">
        <v>139889.59000000003</v>
      </c>
      <c r="AO12">
        <v>3</v>
      </c>
      <c r="AP12">
        <v>2</v>
      </c>
      <c r="AQ12" s="217">
        <v>0.66666666666666663</v>
      </c>
    </row>
    <row r="13" spans="1:43" x14ac:dyDescent="0.35">
      <c r="A13" s="16" t="s">
        <v>306</v>
      </c>
      <c r="B13" s="32">
        <v>5</v>
      </c>
      <c r="C13" s="32">
        <v>120</v>
      </c>
      <c r="D13" s="34">
        <v>1323739.5</v>
      </c>
      <c r="E13" s="73">
        <v>5</v>
      </c>
      <c r="F13" s="73">
        <v>4</v>
      </c>
      <c r="G13" s="26">
        <v>0.8</v>
      </c>
      <c r="H13" s="34"/>
      <c r="I13" s="32">
        <v>3</v>
      </c>
      <c r="J13" s="32">
        <v>96</v>
      </c>
      <c r="K13" s="34">
        <v>412937.47000000003</v>
      </c>
      <c r="L13" s="73">
        <v>23</v>
      </c>
      <c r="M13" s="73">
        <v>11</v>
      </c>
      <c r="N13" s="26">
        <v>0.47826086956521741</v>
      </c>
      <c r="O13" s="34"/>
      <c r="P13" s="32">
        <v>4</v>
      </c>
      <c r="Q13" s="32">
        <v>174</v>
      </c>
      <c r="R13" s="34">
        <v>2381984.37</v>
      </c>
      <c r="S13" s="73">
        <v>14</v>
      </c>
      <c r="T13" s="73">
        <v>11</v>
      </c>
      <c r="U13" s="26">
        <v>0.7857142857142857</v>
      </c>
      <c r="V13" s="34"/>
      <c r="W13" s="32">
        <v>4</v>
      </c>
      <c r="X13" s="32">
        <v>149</v>
      </c>
      <c r="Y13" s="34">
        <v>2764535.04</v>
      </c>
      <c r="Z13" s="73">
        <v>14</v>
      </c>
      <c r="AA13" s="73">
        <v>11</v>
      </c>
      <c r="AB13" s="26">
        <v>0.7857142857142857</v>
      </c>
      <c r="AC13" s="34"/>
      <c r="AD13" s="97">
        <v>3</v>
      </c>
      <c r="AE13" s="97">
        <v>67</v>
      </c>
      <c r="AF13" s="89">
        <v>1132402.0399999998</v>
      </c>
      <c r="AG13" s="97">
        <v>14</v>
      </c>
      <c r="AH13" s="97">
        <v>7</v>
      </c>
      <c r="AI13" s="82">
        <f t="shared" si="1"/>
        <v>0.5</v>
      </c>
      <c r="AJ13" s="155" t="str">
        <f t="shared" si="0"/>
        <v>OK</v>
      </c>
      <c r="AK13" s="16" t="s">
        <v>306</v>
      </c>
      <c r="AL13">
        <v>3</v>
      </c>
      <c r="AM13">
        <v>67</v>
      </c>
      <c r="AN13" s="218">
        <v>1132402.0399999998</v>
      </c>
      <c r="AO13">
        <v>14</v>
      </c>
      <c r="AP13">
        <v>7</v>
      </c>
      <c r="AQ13" s="217">
        <v>0.5</v>
      </c>
    </row>
    <row r="14" spans="1:43" x14ac:dyDescent="0.35">
      <c r="A14" s="16" t="s">
        <v>3</v>
      </c>
      <c r="B14" s="32">
        <v>40</v>
      </c>
      <c r="C14" s="32">
        <v>911</v>
      </c>
      <c r="D14" s="34">
        <v>11514907.599999998</v>
      </c>
      <c r="E14" s="73">
        <v>40</v>
      </c>
      <c r="F14" s="73">
        <v>28</v>
      </c>
      <c r="G14" s="26">
        <v>0.7</v>
      </c>
      <c r="H14" s="34"/>
      <c r="I14" s="32">
        <v>24</v>
      </c>
      <c r="J14" s="32">
        <v>866</v>
      </c>
      <c r="K14" s="34">
        <v>13087911.250000002</v>
      </c>
      <c r="L14" s="73">
        <v>63</v>
      </c>
      <c r="M14" s="73">
        <v>40</v>
      </c>
      <c r="N14" s="26">
        <v>0.63492063492063489</v>
      </c>
      <c r="O14" s="34"/>
      <c r="P14" s="32">
        <v>20</v>
      </c>
      <c r="Q14" s="32">
        <v>799</v>
      </c>
      <c r="R14" s="34">
        <v>13388259.35</v>
      </c>
      <c r="S14" s="73">
        <v>47</v>
      </c>
      <c r="T14" s="73">
        <v>27</v>
      </c>
      <c r="U14" s="26">
        <v>0.57446808510638303</v>
      </c>
      <c r="V14" s="34"/>
      <c r="W14" s="32">
        <v>19</v>
      </c>
      <c r="X14" s="32">
        <v>611</v>
      </c>
      <c r="Y14" s="34">
        <v>13779036.299999999</v>
      </c>
      <c r="Z14" s="73">
        <v>51</v>
      </c>
      <c r="AA14" s="73">
        <v>36</v>
      </c>
      <c r="AB14" s="26">
        <v>0.70588235294117652</v>
      </c>
      <c r="AC14" s="34"/>
      <c r="AD14" s="97">
        <v>16</v>
      </c>
      <c r="AE14" s="97">
        <v>205</v>
      </c>
      <c r="AF14" s="89">
        <v>11023101.390000001</v>
      </c>
      <c r="AG14" s="97">
        <v>46</v>
      </c>
      <c r="AH14" s="97">
        <v>27</v>
      </c>
      <c r="AI14" s="82">
        <f t="shared" si="1"/>
        <v>0.58695652173913049</v>
      </c>
      <c r="AJ14" s="155" t="str">
        <f t="shared" si="0"/>
        <v>OK</v>
      </c>
      <c r="AK14" s="16" t="s">
        <v>3</v>
      </c>
      <c r="AL14">
        <v>16</v>
      </c>
      <c r="AM14">
        <v>205</v>
      </c>
      <c r="AN14" s="218">
        <v>11023101.390000001</v>
      </c>
      <c r="AO14">
        <v>46</v>
      </c>
      <c r="AP14">
        <v>27</v>
      </c>
      <c r="AQ14" s="217">
        <v>0.58695652173913049</v>
      </c>
    </row>
    <row r="15" spans="1:43" x14ac:dyDescent="0.35">
      <c r="A15" s="16" t="s">
        <v>22</v>
      </c>
      <c r="B15" s="32">
        <v>22</v>
      </c>
      <c r="C15" s="32">
        <v>1931</v>
      </c>
      <c r="D15" s="34">
        <v>4079213.63</v>
      </c>
      <c r="E15" s="73">
        <v>19</v>
      </c>
      <c r="F15" s="73">
        <v>17</v>
      </c>
      <c r="G15" s="26">
        <v>0.89473684210526316</v>
      </c>
      <c r="H15" s="34"/>
      <c r="I15" s="32">
        <v>12</v>
      </c>
      <c r="J15" s="32">
        <v>1956</v>
      </c>
      <c r="K15" s="34">
        <v>4323879.62</v>
      </c>
      <c r="L15" s="73">
        <v>25</v>
      </c>
      <c r="M15" s="73">
        <v>12</v>
      </c>
      <c r="N15" s="26">
        <v>0.48</v>
      </c>
      <c r="O15" s="34"/>
      <c r="P15" s="32">
        <v>15</v>
      </c>
      <c r="Q15" s="32">
        <v>1961</v>
      </c>
      <c r="R15" s="34">
        <v>4459291.7300000004</v>
      </c>
      <c r="S15" s="73">
        <v>21</v>
      </c>
      <c r="T15" s="73">
        <v>13</v>
      </c>
      <c r="U15" s="26">
        <v>0.61904761904761907</v>
      </c>
      <c r="V15" s="34"/>
      <c r="W15" s="32">
        <v>10</v>
      </c>
      <c r="X15" s="32">
        <v>711</v>
      </c>
      <c r="Y15" s="34">
        <v>3178823.0999999996</v>
      </c>
      <c r="Z15" s="73">
        <v>20</v>
      </c>
      <c r="AA15" s="73">
        <v>11</v>
      </c>
      <c r="AB15" s="26">
        <v>0.55000000000000004</v>
      </c>
      <c r="AC15" s="34"/>
      <c r="AD15" s="97">
        <v>7</v>
      </c>
      <c r="AE15" s="97">
        <v>576</v>
      </c>
      <c r="AF15" s="89">
        <v>4749420.8500000006</v>
      </c>
      <c r="AG15" s="97">
        <v>19</v>
      </c>
      <c r="AH15" s="97">
        <v>10</v>
      </c>
      <c r="AI15" s="82">
        <f t="shared" si="1"/>
        <v>0.52631578947368418</v>
      </c>
      <c r="AJ15" s="155" t="str">
        <f t="shared" si="0"/>
        <v>OK</v>
      </c>
      <c r="AK15" s="16" t="s">
        <v>22</v>
      </c>
      <c r="AL15">
        <v>7</v>
      </c>
      <c r="AM15">
        <v>576</v>
      </c>
      <c r="AN15" s="218">
        <v>4749420.8500000006</v>
      </c>
      <c r="AO15">
        <v>19</v>
      </c>
      <c r="AP15">
        <v>10</v>
      </c>
      <c r="AQ15" s="217">
        <v>0.52631578947368418</v>
      </c>
    </row>
    <row r="16" spans="1:43" x14ac:dyDescent="0.35">
      <c r="A16" s="16" t="s">
        <v>23</v>
      </c>
      <c r="B16" s="32">
        <v>18</v>
      </c>
      <c r="C16" s="32">
        <v>1957</v>
      </c>
      <c r="D16" s="34">
        <v>258905062.63999999</v>
      </c>
      <c r="E16" s="73">
        <v>28</v>
      </c>
      <c r="F16" s="73">
        <v>23</v>
      </c>
      <c r="G16" s="26">
        <v>0.8214285714285714</v>
      </c>
      <c r="H16" s="34"/>
      <c r="I16" s="32">
        <v>15</v>
      </c>
      <c r="J16" s="32">
        <v>2021</v>
      </c>
      <c r="K16" s="34">
        <v>269399020.66000003</v>
      </c>
      <c r="L16" s="73">
        <v>45</v>
      </c>
      <c r="M16" s="73">
        <v>27</v>
      </c>
      <c r="N16" s="26">
        <v>0.6</v>
      </c>
      <c r="O16" s="34"/>
      <c r="P16" s="32">
        <v>12</v>
      </c>
      <c r="Q16" s="32">
        <v>2146</v>
      </c>
      <c r="R16" s="34">
        <v>270172069.56</v>
      </c>
      <c r="S16" s="73">
        <v>31</v>
      </c>
      <c r="T16" s="73">
        <v>24</v>
      </c>
      <c r="U16" s="26">
        <v>0.77419354838709675</v>
      </c>
      <c r="V16" s="34"/>
      <c r="W16" s="32">
        <v>12</v>
      </c>
      <c r="X16" s="32">
        <v>1748</v>
      </c>
      <c r="Y16" s="34">
        <v>278367345.01999992</v>
      </c>
      <c r="Z16" s="73">
        <v>33</v>
      </c>
      <c r="AA16" s="73">
        <v>27</v>
      </c>
      <c r="AB16" s="26">
        <v>0.81818181818181823</v>
      </c>
      <c r="AC16" s="34"/>
      <c r="AD16" s="97">
        <v>9</v>
      </c>
      <c r="AE16" s="97">
        <v>1155</v>
      </c>
      <c r="AF16" s="89">
        <v>244580903.32000002</v>
      </c>
      <c r="AG16" s="97">
        <v>33</v>
      </c>
      <c r="AH16" s="97">
        <v>26</v>
      </c>
      <c r="AI16" s="82">
        <f t="shared" si="1"/>
        <v>0.78787878787878785</v>
      </c>
      <c r="AJ16" s="155" t="str">
        <f t="shared" si="0"/>
        <v>OK</v>
      </c>
      <c r="AK16" s="16" t="s">
        <v>23</v>
      </c>
      <c r="AL16">
        <v>9</v>
      </c>
      <c r="AM16">
        <v>1155</v>
      </c>
      <c r="AN16" s="218">
        <v>244580903.32000002</v>
      </c>
      <c r="AO16">
        <v>33</v>
      </c>
      <c r="AP16">
        <v>26</v>
      </c>
      <c r="AQ16" s="217">
        <v>0.78787878787878785</v>
      </c>
    </row>
    <row r="17" spans="1:43" x14ac:dyDescent="0.35">
      <c r="A17" s="16" t="s">
        <v>4</v>
      </c>
      <c r="B17" s="32">
        <v>2</v>
      </c>
      <c r="C17" s="32">
        <v>29</v>
      </c>
      <c r="D17" s="34">
        <v>22430.34</v>
      </c>
      <c r="E17" s="73">
        <v>1</v>
      </c>
      <c r="F17" s="73">
        <v>1</v>
      </c>
      <c r="G17" s="26">
        <v>1</v>
      </c>
      <c r="H17" s="34"/>
      <c r="I17" s="32">
        <v>1</v>
      </c>
      <c r="J17" s="32">
        <v>36</v>
      </c>
      <c r="K17" s="34">
        <v>34761.550000000003</v>
      </c>
      <c r="L17" s="73">
        <v>4</v>
      </c>
      <c r="M17" s="73">
        <v>3</v>
      </c>
      <c r="N17" s="26">
        <v>0.75</v>
      </c>
      <c r="O17" s="34"/>
      <c r="P17" s="32">
        <v>1</v>
      </c>
      <c r="Q17" s="32">
        <v>41</v>
      </c>
      <c r="R17" s="34">
        <v>251451.1</v>
      </c>
      <c r="S17" s="73">
        <v>2</v>
      </c>
      <c r="T17" s="73">
        <v>1</v>
      </c>
      <c r="U17" s="26">
        <v>0.5</v>
      </c>
      <c r="V17" s="34"/>
      <c r="W17" s="32">
        <v>1</v>
      </c>
      <c r="X17" s="32">
        <v>26</v>
      </c>
      <c r="Y17" s="34">
        <v>242719.37</v>
      </c>
      <c r="Z17" s="73">
        <v>2</v>
      </c>
      <c r="AA17" s="73">
        <v>2</v>
      </c>
      <c r="AB17" s="26">
        <v>1</v>
      </c>
      <c r="AC17" s="34"/>
      <c r="AD17" s="97">
        <v>1</v>
      </c>
      <c r="AE17" s="97">
        <v>7</v>
      </c>
      <c r="AF17" s="89">
        <v>1667.69</v>
      </c>
      <c r="AG17" s="97">
        <v>2</v>
      </c>
      <c r="AH17" s="97">
        <v>2</v>
      </c>
      <c r="AI17" s="82">
        <f t="shared" si="1"/>
        <v>1</v>
      </c>
      <c r="AJ17" s="155" t="str">
        <f t="shared" si="0"/>
        <v>OK</v>
      </c>
      <c r="AK17" s="16" t="s">
        <v>4</v>
      </c>
      <c r="AL17">
        <v>1</v>
      </c>
      <c r="AM17">
        <v>7</v>
      </c>
      <c r="AN17" s="218">
        <v>1667.69</v>
      </c>
      <c r="AO17">
        <v>2</v>
      </c>
      <c r="AP17">
        <v>2</v>
      </c>
      <c r="AQ17" s="217">
        <v>1</v>
      </c>
    </row>
    <row r="18" spans="1:43" x14ac:dyDescent="0.35">
      <c r="A18" s="16" t="s">
        <v>6</v>
      </c>
      <c r="B18" s="32">
        <v>2</v>
      </c>
      <c r="C18" s="32">
        <v>255</v>
      </c>
      <c r="D18" s="34">
        <v>2600692.21</v>
      </c>
      <c r="E18" s="73">
        <v>2</v>
      </c>
      <c r="F18" s="73">
        <v>2</v>
      </c>
      <c r="G18" s="26">
        <v>1</v>
      </c>
      <c r="H18" s="34"/>
      <c r="I18" s="32">
        <v>2</v>
      </c>
      <c r="J18" s="32">
        <v>219</v>
      </c>
      <c r="K18" s="34">
        <v>2487160.98</v>
      </c>
      <c r="L18" s="73">
        <v>4</v>
      </c>
      <c r="M18" s="73">
        <v>4</v>
      </c>
      <c r="N18" s="26">
        <v>1</v>
      </c>
      <c r="O18" s="34"/>
      <c r="P18" s="32">
        <v>2</v>
      </c>
      <c r="Q18" s="32">
        <v>181</v>
      </c>
      <c r="R18" s="34">
        <v>1639813.72</v>
      </c>
      <c r="S18" s="73">
        <v>4</v>
      </c>
      <c r="T18" s="73">
        <v>4</v>
      </c>
      <c r="U18" s="26">
        <v>1</v>
      </c>
      <c r="V18" s="34"/>
      <c r="W18" s="32">
        <v>2</v>
      </c>
      <c r="X18" s="32">
        <v>152</v>
      </c>
      <c r="Y18" s="34">
        <v>1079945.97</v>
      </c>
      <c r="Z18" s="73">
        <v>4</v>
      </c>
      <c r="AA18" s="73">
        <v>4</v>
      </c>
      <c r="AB18" s="26">
        <v>1</v>
      </c>
      <c r="AC18" s="34"/>
      <c r="AD18" s="97">
        <v>1</v>
      </c>
      <c r="AE18" s="97">
        <v>79</v>
      </c>
      <c r="AF18" s="89">
        <v>919795.32999999984</v>
      </c>
      <c r="AG18" s="97">
        <v>4</v>
      </c>
      <c r="AH18" s="97">
        <v>4</v>
      </c>
      <c r="AI18" s="82">
        <f t="shared" si="1"/>
        <v>1</v>
      </c>
      <c r="AJ18" s="155" t="str">
        <f t="shared" si="0"/>
        <v>OK</v>
      </c>
      <c r="AK18" s="16" t="s">
        <v>6</v>
      </c>
      <c r="AL18">
        <v>1</v>
      </c>
      <c r="AM18">
        <v>79</v>
      </c>
      <c r="AN18" s="218">
        <v>919795.32999999984</v>
      </c>
      <c r="AO18">
        <v>4</v>
      </c>
      <c r="AP18">
        <v>4</v>
      </c>
      <c r="AQ18" s="217">
        <v>1</v>
      </c>
    </row>
    <row r="19" spans="1:43" x14ac:dyDescent="0.35">
      <c r="A19" s="16" t="s">
        <v>5</v>
      </c>
      <c r="B19" s="32">
        <v>1</v>
      </c>
      <c r="C19" s="32">
        <v>398</v>
      </c>
      <c r="D19" s="34">
        <v>2629372.67</v>
      </c>
      <c r="E19" s="73">
        <v>1</v>
      </c>
      <c r="F19" s="73">
        <v>1</v>
      </c>
      <c r="G19" s="26">
        <v>1</v>
      </c>
      <c r="H19" s="34"/>
      <c r="I19" s="32">
        <v>1</v>
      </c>
      <c r="J19" s="32">
        <v>284</v>
      </c>
      <c r="K19" s="34">
        <v>2487300.25</v>
      </c>
      <c r="L19" s="73">
        <v>6</v>
      </c>
      <c r="M19" s="73">
        <v>2</v>
      </c>
      <c r="N19" s="26">
        <v>0.33333333333333331</v>
      </c>
      <c r="O19" s="34"/>
      <c r="P19" s="32">
        <v>1</v>
      </c>
      <c r="Q19" s="32">
        <v>254</v>
      </c>
      <c r="R19" s="34">
        <v>2438463.8199999998</v>
      </c>
      <c r="S19" s="73">
        <v>3</v>
      </c>
      <c r="T19" s="73">
        <v>1</v>
      </c>
      <c r="U19" s="26">
        <v>0.33333333333333331</v>
      </c>
      <c r="V19" s="34"/>
      <c r="W19" s="32">
        <v>1</v>
      </c>
      <c r="X19" s="32">
        <v>225</v>
      </c>
      <c r="Y19" s="34">
        <v>1992851.1100000006</v>
      </c>
      <c r="Z19" s="73">
        <v>6</v>
      </c>
      <c r="AA19" s="73">
        <v>5</v>
      </c>
      <c r="AB19" s="26">
        <v>0.83333333333333337</v>
      </c>
      <c r="AC19" s="34"/>
      <c r="AD19" s="97">
        <v>1</v>
      </c>
      <c r="AE19" s="97">
        <v>121</v>
      </c>
      <c r="AF19" s="89">
        <v>1671400.8699999999</v>
      </c>
      <c r="AG19" s="97">
        <v>6</v>
      </c>
      <c r="AH19" s="97">
        <v>5</v>
      </c>
      <c r="AI19" s="82">
        <f t="shared" si="1"/>
        <v>0.83333333333333337</v>
      </c>
      <c r="AJ19" s="155" t="str">
        <f t="shared" si="0"/>
        <v>OK</v>
      </c>
      <c r="AK19" s="16" t="s">
        <v>5</v>
      </c>
      <c r="AL19">
        <v>1</v>
      </c>
      <c r="AM19">
        <v>121</v>
      </c>
      <c r="AN19" s="218">
        <v>1671400.8699999999</v>
      </c>
      <c r="AO19">
        <v>6</v>
      </c>
      <c r="AP19">
        <v>5</v>
      </c>
      <c r="AQ19" s="217">
        <v>0.83333333333333337</v>
      </c>
    </row>
    <row r="20" spans="1:43" x14ac:dyDescent="0.35">
      <c r="A20" s="16" t="s">
        <v>24</v>
      </c>
      <c r="B20" s="32">
        <v>2</v>
      </c>
      <c r="C20" s="32">
        <v>4</v>
      </c>
      <c r="D20" s="34">
        <v>3960.7</v>
      </c>
      <c r="E20" s="73">
        <v>1</v>
      </c>
      <c r="F20" s="73">
        <v>1</v>
      </c>
      <c r="G20" s="26">
        <v>1</v>
      </c>
      <c r="H20" s="34"/>
      <c r="I20" s="32">
        <v>1</v>
      </c>
      <c r="J20" s="32">
        <v>4</v>
      </c>
      <c r="K20" s="34">
        <v>2742.07</v>
      </c>
      <c r="L20" s="73">
        <v>1</v>
      </c>
      <c r="M20" s="73">
        <v>1</v>
      </c>
      <c r="N20" s="26">
        <v>1</v>
      </c>
      <c r="O20" s="34"/>
      <c r="P20" s="32">
        <v>1</v>
      </c>
      <c r="Q20" s="32">
        <v>3</v>
      </c>
      <c r="R20" s="34">
        <v>633.19000000000005</v>
      </c>
      <c r="S20" s="73">
        <v>1</v>
      </c>
      <c r="T20" s="73">
        <v>1</v>
      </c>
      <c r="U20" s="26">
        <v>1</v>
      </c>
      <c r="V20" s="34"/>
      <c r="W20" s="32">
        <v>1</v>
      </c>
      <c r="X20" s="32">
        <v>3</v>
      </c>
      <c r="Y20" s="34">
        <v>2109.59</v>
      </c>
      <c r="Z20" s="73">
        <v>1</v>
      </c>
      <c r="AA20" s="73">
        <v>1</v>
      </c>
      <c r="AB20" s="26">
        <v>1</v>
      </c>
      <c r="AC20" s="34"/>
      <c r="AD20" s="97">
        <v>1</v>
      </c>
      <c r="AE20" s="97">
        <v>1</v>
      </c>
      <c r="AF20" s="89">
        <v>125.07</v>
      </c>
      <c r="AG20" s="97">
        <v>1</v>
      </c>
      <c r="AH20" s="97">
        <v>0</v>
      </c>
      <c r="AI20" s="82">
        <f t="shared" si="1"/>
        <v>0</v>
      </c>
      <c r="AJ20" s="155" t="str">
        <f t="shared" si="0"/>
        <v>OK</v>
      </c>
      <c r="AK20" s="16" t="s">
        <v>24</v>
      </c>
      <c r="AL20">
        <v>1</v>
      </c>
      <c r="AM20">
        <v>1</v>
      </c>
      <c r="AN20" s="218">
        <v>125.07</v>
      </c>
      <c r="AO20">
        <v>1</v>
      </c>
      <c r="AP20">
        <v>0</v>
      </c>
      <c r="AQ20" s="217">
        <v>0</v>
      </c>
    </row>
    <row r="21" spans="1:43" x14ac:dyDescent="0.35">
      <c r="A21" s="16" t="s">
        <v>7</v>
      </c>
      <c r="B21" s="32">
        <v>15</v>
      </c>
      <c r="C21" s="32">
        <v>309</v>
      </c>
      <c r="D21" s="34">
        <v>1253603.8099999998</v>
      </c>
      <c r="E21" s="73">
        <v>17</v>
      </c>
      <c r="F21" s="73">
        <v>9</v>
      </c>
      <c r="G21" s="26">
        <v>0.52941176470588236</v>
      </c>
      <c r="H21" s="34"/>
      <c r="I21" s="32">
        <v>8</v>
      </c>
      <c r="J21" s="32">
        <v>308</v>
      </c>
      <c r="K21" s="34">
        <v>992546.26</v>
      </c>
      <c r="L21" s="73">
        <v>22</v>
      </c>
      <c r="M21" s="73">
        <v>11</v>
      </c>
      <c r="N21" s="26">
        <v>0.5</v>
      </c>
      <c r="O21" s="34"/>
      <c r="P21" s="32">
        <v>9</v>
      </c>
      <c r="Q21" s="32">
        <v>239</v>
      </c>
      <c r="R21" s="34">
        <v>1650476.4099999997</v>
      </c>
      <c r="S21" s="73">
        <v>5</v>
      </c>
      <c r="T21" s="73">
        <v>2</v>
      </c>
      <c r="U21" s="26">
        <v>0.4</v>
      </c>
      <c r="V21" s="34"/>
      <c r="W21" s="32">
        <v>1</v>
      </c>
      <c r="X21" s="32">
        <v>156</v>
      </c>
      <c r="Y21" s="34">
        <v>961040.53</v>
      </c>
      <c r="Z21" s="73">
        <v>5</v>
      </c>
      <c r="AA21" s="73">
        <v>2</v>
      </c>
      <c r="AB21" s="26">
        <v>0.4</v>
      </c>
      <c r="AC21" s="34"/>
      <c r="AD21" s="97">
        <v>1</v>
      </c>
      <c r="AE21" s="97">
        <v>153</v>
      </c>
      <c r="AF21" s="89">
        <v>2336430.1600000006</v>
      </c>
      <c r="AG21" s="97">
        <v>5</v>
      </c>
      <c r="AH21" s="97">
        <v>3</v>
      </c>
      <c r="AI21" s="82">
        <f t="shared" si="1"/>
        <v>0.6</v>
      </c>
      <c r="AJ21" s="155" t="str">
        <f t="shared" si="0"/>
        <v>OK</v>
      </c>
      <c r="AK21" s="16" t="s">
        <v>7</v>
      </c>
      <c r="AL21">
        <v>1</v>
      </c>
      <c r="AM21">
        <v>153</v>
      </c>
      <c r="AN21" s="218">
        <v>2336430.1600000006</v>
      </c>
      <c r="AO21">
        <v>5</v>
      </c>
      <c r="AP21">
        <v>3</v>
      </c>
      <c r="AQ21" s="217">
        <v>0.6</v>
      </c>
    </row>
    <row r="22" spans="1:43" x14ac:dyDescent="0.35">
      <c r="A22" s="16" t="s">
        <v>8</v>
      </c>
      <c r="B22" s="32">
        <v>2</v>
      </c>
      <c r="C22" s="32">
        <v>49</v>
      </c>
      <c r="D22" s="34">
        <v>251803</v>
      </c>
      <c r="E22" s="73">
        <v>4</v>
      </c>
      <c r="F22" s="73">
        <v>3</v>
      </c>
      <c r="G22" s="26">
        <v>0.75</v>
      </c>
      <c r="H22" s="34"/>
      <c r="I22" s="32">
        <v>1</v>
      </c>
      <c r="J22" s="32">
        <v>40</v>
      </c>
      <c r="K22" s="34">
        <v>117730.08</v>
      </c>
      <c r="L22" s="73">
        <v>4</v>
      </c>
      <c r="M22" s="73">
        <v>3</v>
      </c>
      <c r="N22" s="26">
        <v>0.75</v>
      </c>
      <c r="O22" s="34"/>
      <c r="P22" s="32">
        <v>1</v>
      </c>
      <c r="Q22" s="32">
        <v>32</v>
      </c>
      <c r="R22" s="34">
        <v>46104.1</v>
      </c>
      <c r="S22" s="73">
        <v>3</v>
      </c>
      <c r="T22" s="73">
        <v>2</v>
      </c>
      <c r="U22" s="26">
        <v>0.66666666666666663</v>
      </c>
      <c r="V22" s="34"/>
      <c r="W22" s="32">
        <v>1</v>
      </c>
      <c r="X22" s="32">
        <v>13</v>
      </c>
      <c r="Y22" s="34">
        <v>56544.23000000001</v>
      </c>
      <c r="Z22" s="73">
        <v>3</v>
      </c>
      <c r="AA22" s="73">
        <v>2</v>
      </c>
      <c r="AB22" s="26">
        <v>0.66666666666666663</v>
      </c>
      <c r="AC22" s="34"/>
      <c r="AD22" s="97">
        <v>1</v>
      </c>
      <c r="AE22" s="97">
        <v>5</v>
      </c>
      <c r="AF22" s="89">
        <v>38123.68</v>
      </c>
      <c r="AG22" s="97">
        <v>3</v>
      </c>
      <c r="AH22" s="97">
        <v>2</v>
      </c>
      <c r="AI22" s="82">
        <f t="shared" si="1"/>
        <v>0.66666666666666663</v>
      </c>
      <c r="AJ22" s="155" t="str">
        <f t="shared" si="0"/>
        <v>OK</v>
      </c>
      <c r="AK22" s="16" t="s">
        <v>8</v>
      </c>
      <c r="AL22">
        <v>1</v>
      </c>
      <c r="AM22">
        <v>5</v>
      </c>
      <c r="AN22" s="218">
        <v>38123.68</v>
      </c>
      <c r="AO22">
        <v>3</v>
      </c>
      <c r="AP22">
        <v>2</v>
      </c>
      <c r="AQ22" s="217">
        <v>0.66666666666666663</v>
      </c>
    </row>
    <row r="23" spans="1:43" x14ac:dyDescent="0.35">
      <c r="A23" s="16" t="s">
        <v>19</v>
      </c>
      <c r="B23" s="32">
        <v>110</v>
      </c>
      <c r="C23" s="32">
        <v>6985</v>
      </c>
      <c r="D23" s="34">
        <v>9360048.040000001</v>
      </c>
      <c r="E23" s="73">
        <v>87</v>
      </c>
      <c r="F23" s="73">
        <v>56</v>
      </c>
      <c r="G23" s="26">
        <v>0.64367816091954022</v>
      </c>
      <c r="H23" s="34"/>
      <c r="I23" s="32">
        <v>61</v>
      </c>
      <c r="J23" s="32">
        <v>6896</v>
      </c>
      <c r="K23" s="34">
        <v>10540360.310000001</v>
      </c>
      <c r="L23" s="73">
        <v>309</v>
      </c>
      <c r="M23" s="73">
        <v>119</v>
      </c>
      <c r="N23" s="26">
        <v>0.38511326860841422</v>
      </c>
      <c r="O23" s="34"/>
      <c r="P23" s="32">
        <v>58</v>
      </c>
      <c r="Q23" s="32">
        <v>6530</v>
      </c>
      <c r="R23" s="34">
        <v>11912661.59</v>
      </c>
      <c r="S23" s="73">
        <v>137</v>
      </c>
      <c r="T23" s="73">
        <v>64</v>
      </c>
      <c r="U23" s="26">
        <v>0.46715328467153283</v>
      </c>
      <c r="V23" s="34"/>
      <c r="W23" s="32">
        <v>28</v>
      </c>
      <c r="X23" s="32">
        <v>551</v>
      </c>
      <c r="Y23" s="34">
        <v>6954324.9799999995</v>
      </c>
      <c r="Z23" s="73">
        <v>82</v>
      </c>
      <c r="AA23" s="73">
        <v>30</v>
      </c>
      <c r="AB23" s="26">
        <v>0.36585365853658536</v>
      </c>
      <c r="AC23" s="34"/>
      <c r="AD23" s="97">
        <v>20</v>
      </c>
      <c r="AE23" s="97">
        <v>264</v>
      </c>
      <c r="AF23" s="89">
        <v>2607488.0700000012</v>
      </c>
      <c r="AG23" s="97">
        <v>78</v>
      </c>
      <c r="AH23" s="97">
        <v>30</v>
      </c>
      <c r="AI23" s="82">
        <f t="shared" si="1"/>
        <v>0.38461538461538464</v>
      </c>
      <c r="AJ23" s="155" t="str">
        <f t="shared" si="0"/>
        <v>OK</v>
      </c>
      <c r="AK23" s="16" t="s">
        <v>19</v>
      </c>
      <c r="AL23">
        <v>20</v>
      </c>
      <c r="AM23">
        <v>264</v>
      </c>
      <c r="AN23" s="218">
        <v>2607488.0700000012</v>
      </c>
      <c r="AO23">
        <v>78</v>
      </c>
      <c r="AP23">
        <v>30</v>
      </c>
      <c r="AQ23" s="217">
        <v>0.38461538461538464</v>
      </c>
    </row>
    <row r="24" spans="1:43" x14ac:dyDescent="0.35">
      <c r="A24" s="16" t="s">
        <v>20</v>
      </c>
      <c r="B24" s="32"/>
      <c r="C24" s="32"/>
      <c r="D24" s="34"/>
      <c r="E24" s="73"/>
      <c r="F24" s="73"/>
      <c r="G24" s="26"/>
      <c r="H24" s="34"/>
      <c r="I24" s="32"/>
      <c r="J24" s="32"/>
      <c r="K24" s="34"/>
      <c r="L24" s="73">
        <v>3</v>
      </c>
      <c r="M24" s="73">
        <v>0</v>
      </c>
      <c r="N24" s="26">
        <v>0</v>
      </c>
      <c r="O24" s="34"/>
      <c r="P24" s="32"/>
      <c r="Q24" s="32"/>
      <c r="R24" s="34"/>
      <c r="S24" s="73"/>
      <c r="T24" s="73"/>
      <c r="U24" s="26"/>
      <c r="V24" s="34"/>
      <c r="W24" s="32"/>
      <c r="X24" s="32"/>
      <c r="Y24" s="34"/>
      <c r="Z24" s="73"/>
      <c r="AA24" s="73"/>
      <c r="AB24" s="26"/>
      <c r="AC24" s="34"/>
      <c r="AD24" s="97"/>
      <c r="AE24" s="97"/>
      <c r="AF24" s="89"/>
      <c r="AG24" s="97"/>
      <c r="AH24" s="97"/>
      <c r="AI24" s="82"/>
      <c r="AJ24" s="155" t="str">
        <f t="shared" si="0"/>
        <v>OK</v>
      </c>
      <c r="AK24" s="16" t="s">
        <v>20</v>
      </c>
    </row>
    <row r="25" spans="1:43" x14ac:dyDescent="0.35">
      <c r="A25" s="16" t="s">
        <v>27</v>
      </c>
      <c r="B25" s="32">
        <v>2</v>
      </c>
      <c r="C25" s="32">
        <v>117</v>
      </c>
      <c r="D25" s="34">
        <v>253889.63</v>
      </c>
      <c r="E25" s="73">
        <v>1</v>
      </c>
      <c r="F25" s="73">
        <v>1</v>
      </c>
      <c r="G25" s="26">
        <v>1</v>
      </c>
      <c r="H25" s="34"/>
      <c r="I25" s="32">
        <v>1</v>
      </c>
      <c r="J25" s="32">
        <v>85</v>
      </c>
      <c r="K25" s="34">
        <v>198860.82</v>
      </c>
      <c r="L25" s="73">
        <v>6</v>
      </c>
      <c r="M25" s="73">
        <v>3</v>
      </c>
      <c r="N25" s="26">
        <v>0.5</v>
      </c>
      <c r="O25" s="34"/>
      <c r="P25" s="32">
        <v>1</v>
      </c>
      <c r="Q25" s="32">
        <v>82</v>
      </c>
      <c r="R25" s="34">
        <v>196152.23</v>
      </c>
      <c r="S25" s="73">
        <v>4</v>
      </c>
      <c r="T25" s="73">
        <v>3</v>
      </c>
      <c r="U25" s="26">
        <v>0.75</v>
      </c>
      <c r="V25" s="34"/>
      <c r="W25" s="32">
        <v>1</v>
      </c>
      <c r="X25" s="32">
        <v>64</v>
      </c>
      <c r="Y25" s="34">
        <v>107766.04</v>
      </c>
      <c r="Z25" s="73">
        <v>3</v>
      </c>
      <c r="AA25" s="73">
        <v>1</v>
      </c>
      <c r="AB25" s="26">
        <v>0.33333333333333331</v>
      </c>
      <c r="AC25" s="34"/>
      <c r="AD25" s="97">
        <v>1</v>
      </c>
      <c r="AE25" s="97">
        <v>35</v>
      </c>
      <c r="AF25" s="89">
        <v>130749.18</v>
      </c>
      <c r="AG25" s="97">
        <v>2</v>
      </c>
      <c r="AH25" s="97">
        <v>2</v>
      </c>
      <c r="AI25" s="82">
        <f t="shared" ref="AI25:AI51" si="2">AH25/AG25</f>
        <v>1</v>
      </c>
      <c r="AJ25" s="155" t="str">
        <f t="shared" si="0"/>
        <v>OK</v>
      </c>
      <c r="AK25" s="16" t="s">
        <v>27</v>
      </c>
      <c r="AL25">
        <v>1</v>
      </c>
      <c r="AM25">
        <v>35</v>
      </c>
      <c r="AN25" s="218">
        <v>130749.18</v>
      </c>
      <c r="AO25">
        <v>2</v>
      </c>
      <c r="AP25">
        <v>2</v>
      </c>
      <c r="AQ25" s="217">
        <v>1</v>
      </c>
    </row>
    <row r="26" spans="1:43" x14ac:dyDescent="0.35">
      <c r="A26" s="16" t="s">
        <v>9</v>
      </c>
      <c r="B26" s="32">
        <v>10</v>
      </c>
      <c r="C26" s="32">
        <v>647</v>
      </c>
      <c r="D26" s="34">
        <v>742265.65</v>
      </c>
      <c r="E26" s="73">
        <v>9</v>
      </c>
      <c r="F26" s="73">
        <v>6</v>
      </c>
      <c r="G26" s="26">
        <v>0.66666666666666663</v>
      </c>
      <c r="H26" s="34"/>
      <c r="I26" s="32">
        <v>4</v>
      </c>
      <c r="J26" s="32">
        <v>548</v>
      </c>
      <c r="K26" s="34">
        <v>742161.3600000001</v>
      </c>
      <c r="L26" s="73">
        <v>25</v>
      </c>
      <c r="M26" s="73">
        <v>16</v>
      </c>
      <c r="N26" s="26">
        <v>0.64</v>
      </c>
      <c r="O26" s="34"/>
      <c r="P26" s="32">
        <v>5</v>
      </c>
      <c r="Q26" s="32">
        <v>487</v>
      </c>
      <c r="R26" s="34">
        <v>448045.98</v>
      </c>
      <c r="S26" s="73">
        <v>7</v>
      </c>
      <c r="T26" s="73">
        <v>4</v>
      </c>
      <c r="U26" s="26">
        <v>0.5714285714285714</v>
      </c>
      <c r="V26" s="34"/>
      <c r="W26" s="32">
        <v>4</v>
      </c>
      <c r="X26" s="32">
        <v>370</v>
      </c>
      <c r="Y26" s="34">
        <v>440685.68000000005</v>
      </c>
      <c r="Z26" s="73">
        <v>8</v>
      </c>
      <c r="AA26" s="73">
        <v>6</v>
      </c>
      <c r="AB26" s="26">
        <v>0.75</v>
      </c>
      <c r="AC26" s="34"/>
      <c r="AD26" s="97">
        <v>4</v>
      </c>
      <c r="AE26" s="97">
        <v>160</v>
      </c>
      <c r="AF26" s="89">
        <v>353439.75999999995</v>
      </c>
      <c r="AG26" s="97">
        <v>6</v>
      </c>
      <c r="AH26" s="97">
        <v>5</v>
      </c>
      <c r="AI26" s="82">
        <f t="shared" si="2"/>
        <v>0.83333333333333337</v>
      </c>
      <c r="AJ26" s="155" t="str">
        <f t="shared" si="0"/>
        <v>OK</v>
      </c>
      <c r="AK26" s="16" t="s">
        <v>9</v>
      </c>
      <c r="AL26">
        <v>4</v>
      </c>
      <c r="AM26">
        <v>160</v>
      </c>
      <c r="AN26" s="218">
        <v>353439.75999999995</v>
      </c>
      <c r="AO26">
        <v>6</v>
      </c>
      <c r="AP26">
        <v>5</v>
      </c>
      <c r="AQ26" s="217">
        <v>0.83333333333333337</v>
      </c>
    </row>
    <row r="27" spans="1:43" x14ac:dyDescent="0.35">
      <c r="A27" s="16" t="s">
        <v>342</v>
      </c>
      <c r="B27" s="32">
        <v>2</v>
      </c>
      <c r="C27" s="32">
        <v>289</v>
      </c>
      <c r="D27" s="34">
        <v>4167215.63</v>
      </c>
      <c r="E27" s="73">
        <v>4</v>
      </c>
      <c r="F27" s="73">
        <v>4</v>
      </c>
      <c r="G27" s="26">
        <v>1</v>
      </c>
      <c r="H27" s="34"/>
      <c r="I27" s="32">
        <v>1</v>
      </c>
      <c r="J27" s="32">
        <v>259</v>
      </c>
      <c r="K27" s="34">
        <v>1366075.42</v>
      </c>
      <c r="L27" s="73">
        <v>30</v>
      </c>
      <c r="M27" s="73">
        <v>8</v>
      </c>
      <c r="N27" s="26">
        <v>0.26666666666666666</v>
      </c>
      <c r="O27" s="34"/>
      <c r="P27" s="32">
        <v>2</v>
      </c>
      <c r="Q27" s="32">
        <v>179</v>
      </c>
      <c r="R27" s="34">
        <v>1491201.76</v>
      </c>
      <c r="S27" s="73">
        <v>3</v>
      </c>
      <c r="T27" s="73">
        <v>3</v>
      </c>
      <c r="U27" s="26">
        <v>1</v>
      </c>
      <c r="V27" s="34"/>
      <c r="W27" s="32">
        <v>1</v>
      </c>
      <c r="X27" s="32">
        <v>135</v>
      </c>
      <c r="Y27" s="34">
        <v>674419.97</v>
      </c>
      <c r="Z27" s="73">
        <v>3</v>
      </c>
      <c r="AA27" s="73">
        <v>3</v>
      </c>
      <c r="AB27" s="26">
        <v>1</v>
      </c>
      <c r="AC27" s="34"/>
      <c r="AD27" s="97">
        <v>1</v>
      </c>
      <c r="AE27" s="97">
        <v>69</v>
      </c>
      <c r="AF27" s="89">
        <v>487032.68999999994</v>
      </c>
      <c r="AG27" s="97">
        <v>3</v>
      </c>
      <c r="AH27" s="97">
        <v>3</v>
      </c>
      <c r="AI27" s="82">
        <f t="shared" si="2"/>
        <v>1</v>
      </c>
      <c r="AJ27" s="155" t="str">
        <f t="shared" si="0"/>
        <v>OK</v>
      </c>
      <c r="AK27" s="16" t="s">
        <v>342</v>
      </c>
      <c r="AL27">
        <v>1</v>
      </c>
      <c r="AM27">
        <v>69</v>
      </c>
      <c r="AN27" s="218">
        <v>487032.68999999994</v>
      </c>
      <c r="AO27">
        <v>3</v>
      </c>
      <c r="AP27">
        <v>3</v>
      </c>
      <c r="AQ27" s="217">
        <v>1</v>
      </c>
    </row>
    <row r="28" spans="1:43" x14ac:dyDescent="0.35">
      <c r="A28" s="16" t="s">
        <v>178</v>
      </c>
      <c r="B28" s="32">
        <v>4</v>
      </c>
      <c r="C28" s="32">
        <v>71</v>
      </c>
      <c r="D28" s="34">
        <v>362688.45999999996</v>
      </c>
      <c r="E28" s="73">
        <v>6</v>
      </c>
      <c r="F28" s="73">
        <v>5</v>
      </c>
      <c r="G28" s="26">
        <v>0.83333333333333337</v>
      </c>
      <c r="H28" s="34"/>
      <c r="I28" s="32">
        <v>2</v>
      </c>
      <c r="J28" s="32">
        <v>68</v>
      </c>
      <c r="K28" s="34">
        <v>105216.9</v>
      </c>
      <c r="L28" s="73">
        <v>4</v>
      </c>
      <c r="M28" s="73">
        <v>4</v>
      </c>
      <c r="N28" s="26">
        <v>1</v>
      </c>
      <c r="O28" s="34"/>
      <c r="P28" s="32">
        <v>2</v>
      </c>
      <c r="Q28" s="32">
        <v>54</v>
      </c>
      <c r="R28" s="34">
        <v>95765.950000000012</v>
      </c>
      <c r="S28" s="73">
        <v>4</v>
      </c>
      <c r="T28" s="73">
        <v>4</v>
      </c>
      <c r="U28" s="26">
        <v>1</v>
      </c>
      <c r="V28" s="34"/>
      <c r="W28" s="32">
        <v>3</v>
      </c>
      <c r="X28" s="32">
        <v>55</v>
      </c>
      <c r="Y28" s="34">
        <v>954984.12</v>
      </c>
      <c r="Z28" s="73">
        <v>4</v>
      </c>
      <c r="AA28" s="73">
        <v>4</v>
      </c>
      <c r="AB28" s="26">
        <v>1</v>
      </c>
      <c r="AC28" s="34"/>
      <c r="AD28" s="97">
        <v>2</v>
      </c>
      <c r="AE28" s="97">
        <v>11</v>
      </c>
      <c r="AF28" s="89">
        <v>277533.51</v>
      </c>
      <c r="AG28" s="97">
        <v>4</v>
      </c>
      <c r="AH28" s="97">
        <v>4</v>
      </c>
      <c r="AI28" s="82">
        <f t="shared" si="2"/>
        <v>1</v>
      </c>
      <c r="AJ28" s="155" t="str">
        <f t="shared" si="0"/>
        <v>OK</v>
      </c>
      <c r="AK28" s="16" t="s">
        <v>178</v>
      </c>
      <c r="AL28">
        <v>2</v>
      </c>
      <c r="AM28">
        <v>11</v>
      </c>
      <c r="AN28" s="218">
        <v>277533.51</v>
      </c>
      <c r="AO28">
        <v>4</v>
      </c>
      <c r="AP28">
        <v>4</v>
      </c>
      <c r="AQ28" s="217">
        <v>1</v>
      </c>
    </row>
    <row r="29" spans="1:43" x14ac:dyDescent="0.35">
      <c r="A29" s="16" t="s">
        <v>10</v>
      </c>
      <c r="B29" s="32">
        <v>10</v>
      </c>
      <c r="C29" s="32">
        <v>3319</v>
      </c>
      <c r="D29" s="34">
        <v>3461715.26</v>
      </c>
      <c r="E29" s="73">
        <v>15</v>
      </c>
      <c r="F29" s="73">
        <v>13</v>
      </c>
      <c r="G29" s="26">
        <v>0.8666666666666667</v>
      </c>
      <c r="H29" s="34"/>
      <c r="I29" s="32">
        <v>5</v>
      </c>
      <c r="J29" s="32">
        <v>3243</v>
      </c>
      <c r="K29" s="34">
        <v>2578208.56</v>
      </c>
      <c r="L29" s="73">
        <v>36</v>
      </c>
      <c r="M29" s="73">
        <v>27</v>
      </c>
      <c r="N29" s="26">
        <v>0.75</v>
      </c>
      <c r="O29" s="34"/>
      <c r="P29" s="32">
        <v>5</v>
      </c>
      <c r="Q29" s="32">
        <v>3061</v>
      </c>
      <c r="R29" s="34">
        <v>2608662.94</v>
      </c>
      <c r="S29" s="73">
        <v>30</v>
      </c>
      <c r="T29" s="73">
        <v>27</v>
      </c>
      <c r="U29" s="26">
        <v>0.9</v>
      </c>
      <c r="V29" s="34"/>
      <c r="W29" s="32">
        <v>6</v>
      </c>
      <c r="X29" s="32">
        <v>2168</v>
      </c>
      <c r="Y29" s="34">
        <v>1793732.1800000002</v>
      </c>
      <c r="Z29" s="73">
        <v>29</v>
      </c>
      <c r="AA29" s="73">
        <v>22</v>
      </c>
      <c r="AB29" s="26">
        <v>0.75862068965517238</v>
      </c>
      <c r="AC29" s="34"/>
      <c r="AD29" s="97">
        <v>4</v>
      </c>
      <c r="AE29" s="97">
        <v>1713</v>
      </c>
      <c r="AF29" s="89">
        <v>1490806.13</v>
      </c>
      <c r="AG29" s="97">
        <v>29</v>
      </c>
      <c r="AH29" s="97">
        <v>24</v>
      </c>
      <c r="AI29" s="82">
        <f t="shared" si="2"/>
        <v>0.82758620689655171</v>
      </c>
      <c r="AJ29" s="155" t="str">
        <f t="shared" si="0"/>
        <v>OK</v>
      </c>
      <c r="AK29" t="s">
        <v>10</v>
      </c>
      <c r="AL29">
        <v>4</v>
      </c>
      <c r="AM29">
        <v>1713</v>
      </c>
      <c r="AN29" s="218">
        <v>1490806.13</v>
      </c>
      <c r="AO29">
        <v>29</v>
      </c>
      <c r="AP29">
        <v>24</v>
      </c>
      <c r="AQ29" s="217">
        <v>0.82758620689655171</v>
      </c>
    </row>
    <row r="30" spans="1:43" x14ac:dyDescent="0.35">
      <c r="A30" s="16" t="s">
        <v>11</v>
      </c>
      <c r="B30" s="32">
        <v>2</v>
      </c>
      <c r="C30" s="32">
        <v>36</v>
      </c>
      <c r="D30" s="34">
        <v>74157.66</v>
      </c>
      <c r="E30" s="73">
        <v>3</v>
      </c>
      <c r="F30" s="73">
        <v>2</v>
      </c>
      <c r="G30" s="26">
        <v>0.66666666666666663</v>
      </c>
      <c r="H30" s="34"/>
      <c r="I30" s="32">
        <v>1</v>
      </c>
      <c r="J30" s="32">
        <v>45</v>
      </c>
      <c r="K30" s="34">
        <v>992640.02</v>
      </c>
      <c r="L30" s="73">
        <v>10</v>
      </c>
      <c r="M30" s="73">
        <v>3</v>
      </c>
      <c r="N30" s="26">
        <v>0.3</v>
      </c>
      <c r="O30" s="34"/>
      <c r="P30" s="32">
        <v>1</v>
      </c>
      <c r="Q30" s="32">
        <v>49</v>
      </c>
      <c r="R30" s="34">
        <v>1020136.83</v>
      </c>
      <c r="S30" s="73">
        <v>4</v>
      </c>
      <c r="T30" s="73">
        <v>3</v>
      </c>
      <c r="U30" s="26">
        <v>0.75</v>
      </c>
      <c r="V30" s="34"/>
      <c r="W30" s="32">
        <v>1</v>
      </c>
      <c r="X30" s="32">
        <v>51</v>
      </c>
      <c r="Y30" s="34">
        <v>340417.88</v>
      </c>
      <c r="Z30" s="73">
        <v>4</v>
      </c>
      <c r="AA30" s="73">
        <v>4</v>
      </c>
      <c r="AB30" s="26">
        <v>1</v>
      </c>
      <c r="AC30" s="34"/>
      <c r="AD30" s="97">
        <v>1</v>
      </c>
      <c r="AE30" s="97">
        <v>5</v>
      </c>
      <c r="AF30" s="89">
        <v>19427.829999999998</v>
      </c>
      <c r="AG30" s="97">
        <v>4</v>
      </c>
      <c r="AH30" s="97">
        <v>3</v>
      </c>
      <c r="AI30" s="82">
        <f t="shared" si="2"/>
        <v>0.75</v>
      </c>
      <c r="AJ30" s="155" t="str">
        <f t="shared" si="0"/>
        <v>OK</v>
      </c>
      <c r="AK30" t="s">
        <v>11</v>
      </c>
      <c r="AL30">
        <v>1</v>
      </c>
      <c r="AM30">
        <v>5</v>
      </c>
      <c r="AN30" s="218">
        <v>19427.829999999998</v>
      </c>
      <c r="AO30">
        <v>4</v>
      </c>
      <c r="AP30">
        <v>3</v>
      </c>
      <c r="AQ30" s="217">
        <v>0.75</v>
      </c>
    </row>
    <row r="31" spans="1:43" x14ac:dyDescent="0.35">
      <c r="A31" s="16" t="s">
        <v>12</v>
      </c>
      <c r="B31" s="32">
        <v>2</v>
      </c>
      <c r="C31" s="32">
        <v>41</v>
      </c>
      <c r="D31" s="34">
        <v>31477.05</v>
      </c>
      <c r="E31" s="73">
        <v>1</v>
      </c>
      <c r="F31" s="73">
        <v>1</v>
      </c>
      <c r="G31" s="26">
        <v>1</v>
      </c>
      <c r="H31" s="34"/>
      <c r="I31" s="32">
        <v>1</v>
      </c>
      <c r="J31" s="32">
        <v>39</v>
      </c>
      <c r="K31" s="34">
        <v>15483.57</v>
      </c>
      <c r="L31" s="73">
        <v>5</v>
      </c>
      <c r="M31" s="73">
        <v>4</v>
      </c>
      <c r="N31" s="26">
        <v>0.8</v>
      </c>
      <c r="O31" s="34"/>
      <c r="P31" s="32">
        <v>1</v>
      </c>
      <c r="Q31" s="32">
        <v>36</v>
      </c>
      <c r="R31" s="34">
        <v>15830.42</v>
      </c>
      <c r="S31" s="73">
        <v>4</v>
      </c>
      <c r="T31" s="73">
        <v>4</v>
      </c>
      <c r="U31" s="26">
        <v>1</v>
      </c>
      <c r="V31" s="34"/>
      <c r="W31" s="32">
        <v>1</v>
      </c>
      <c r="X31" s="32">
        <v>32</v>
      </c>
      <c r="Y31" s="34">
        <v>35960.29</v>
      </c>
      <c r="Z31" s="73">
        <v>4</v>
      </c>
      <c r="AA31" s="73">
        <v>4</v>
      </c>
      <c r="AB31" s="26">
        <v>1</v>
      </c>
      <c r="AC31" s="34"/>
      <c r="AD31" s="97">
        <v>1</v>
      </c>
      <c r="AE31" s="97">
        <v>24</v>
      </c>
      <c r="AF31" s="89">
        <v>9350.4700000000012</v>
      </c>
      <c r="AG31" s="97">
        <v>4</v>
      </c>
      <c r="AH31" s="97">
        <v>4</v>
      </c>
      <c r="AI31" s="82">
        <f t="shared" si="2"/>
        <v>1</v>
      </c>
      <c r="AJ31" s="155" t="str">
        <f t="shared" si="0"/>
        <v>OK</v>
      </c>
      <c r="AK31" t="s">
        <v>12</v>
      </c>
      <c r="AL31">
        <v>1</v>
      </c>
      <c r="AM31">
        <v>24</v>
      </c>
      <c r="AN31" s="218">
        <v>9350.4700000000012</v>
      </c>
      <c r="AO31">
        <v>4</v>
      </c>
      <c r="AP31">
        <v>4</v>
      </c>
      <c r="AQ31" s="217">
        <v>1</v>
      </c>
    </row>
    <row r="32" spans="1:43" x14ac:dyDescent="0.35">
      <c r="A32" s="16" t="s">
        <v>13</v>
      </c>
      <c r="B32" s="32">
        <v>2</v>
      </c>
      <c r="C32" s="32">
        <v>59</v>
      </c>
      <c r="D32" s="34">
        <v>153391.49</v>
      </c>
      <c r="E32" s="73">
        <v>1</v>
      </c>
      <c r="F32" s="73">
        <v>1</v>
      </c>
      <c r="G32" s="26">
        <v>1</v>
      </c>
      <c r="H32" s="34"/>
      <c r="I32" s="32">
        <v>2</v>
      </c>
      <c r="J32" s="32">
        <v>40</v>
      </c>
      <c r="K32" s="34">
        <v>122520.62999999999</v>
      </c>
      <c r="L32" s="73">
        <v>8</v>
      </c>
      <c r="M32" s="73">
        <v>4</v>
      </c>
      <c r="N32" s="26">
        <v>0.5</v>
      </c>
      <c r="O32" s="34"/>
      <c r="P32" s="32">
        <v>1</v>
      </c>
      <c r="Q32" s="32">
        <v>48</v>
      </c>
      <c r="R32" s="34">
        <v>133697.62</v>
      </c>
      <c r="S32" s="73">
        <v>3</v>
      </c>
      <c r="T32" s="73">
        <v>2</v>
      </c>
      <c r="U32" s="26">
        <v>0.66666666666666663</v>
      </c>
      <c r="V32" s="34"/>
      <c r="W32" s="32">
        <v>1</v>
      </c>
      <c r="X32" s="32">
        <v>31</v>
      </c>
      <c r="Y32" s="34">
        <v>115544.13</v>
      </c>
      <c r="Z32" s="73">
        <v>3</v>
      </c>
      <c r="AA32" s="73">
        <v>3</v>
      </c>
      <c r="AB32" s="26">
        <v>1</v>
      </c>
      <c r="AC32" s="34"/>
      <c r="AD32" s="97">
        <v>1</v>
      </c>
      <c r="AE32" s="97">
        <v>17</v>
      </c>
      <c r="AF32" s="89">
        <v>17055.18</v>
      </c>
      <c r="AG32" s="97">
        <v>3</v>
      </c>
      <c r="AH32" s="97">
        <v>3</v>
      </c>
      <c r="AI32" s="82">
        <f t="shared" si="2"/>
        <v>1</v>
      </c>
      <c r="AJ32" s="155" t="str">
        <f t="shared" si="0"/>
        <v>OK</v>
      </c>
      <c r="AK32" t="s">
        <v>13</v>
      </c>
      <c r="AL32">
        <v>1</v>
      </c>
      <c r="AM32">
        <v>17</v>
      </c>
      <c r="AN32" s="218">
        <v>17055.18</v>
      </c>
      <c r="AO32">
        <v>3</v>
      </c>
      <c r="AP32">
        <v>3</v>
      </c>
      <c r="AQ32" s="217">
        <v>1</v>
      </c>
    </row>
    <row r="33" spans="1:43" x14ac:dyDescent="0.35">
      <c r="A33" s="16" t="s">
        <v>343</v>
      </c>
      <c r="B33" s="32">
        <v>10</v>
      </c>
      <c r="C33" s="32">
        <v>323</v>
      </c>
      <c r="D33" s="34">
        <v>538069.6</v>
      </c>
      <c r="E33" s="73">
        <v>9</v>
      </c>
      <c r="F33" s="73">
        <v>6</v>
      </c>
      <c r="G33" s="26">
        <v>0.66666666666666663</v>
      </c>
      <c r="H33" s="34"/>
      <c r="I33" s="32">
        <v>5</v>
      </c>
      <c r="J33" s="32">
        <v>314</v>
      </c>
      <c r="K33" s="34">
        <v>415499.42000000004</v>
      </c>
      <c r="L33" s="73">
        <v>9</v>
      </c>
      <c r="M33" s="73">
        <v>4</v>
      </c>
      <c r="N33" s="26">
        <v>0.44444444444444442</v>
      </c>
      <c r="O33" s="34"/>
      <c r="P33" s="32">
        <v>5</v>
      </c>
      <c r="Q33" s="32">
        <v>323</v>
      </c>
      <c r="R33" s="34">
        <v>385529.25</v>
      </c>
      <c r="S33" s="73">
        <v>7</v>
      </c>
      <c r="T33" s="73">
        <v>5</v>
      </c>
      <c r="U33" s="26">
        <v>0.7142857142857143</v>
      </c>
      <c r="V33" s="34"/>
      <c r="W33" s="32">
        <v>5</v>
      </c>
      <c r="X33" s="32">
        <v>207</v>
      </c>
      <c r="Y33" s="34">
        <v>424770.41</v>
      </c>
      <c r="Z33" s="73">
        <v>8</v>
      </c>
      <c r="AA33" s="73">
        <v>7</v>
      </c>
      <c r="AB33" s="26">
        <v>0.875</v>
      </c>
      <c r="AC33" s="34"/>
      <c r="AD33" s="97">
        <v>4</v>
      </c>
      <c r="AE33" s="97">
        <v>51</v>
      </c>
      <c r="AF33" s="89">
        <v>53631.600000000006</v>
      </c>
      <c r="AG33" s="97">
        <v>5</v>
      </c>
      <c r="AH33" s="97">
        <v>4</v>
      </c>
      <c r="AI33" s="82">
        <f t="shared" si="2"/>
        <v>0.8</v>
      </c>
      <c r="AJ33" s="155" t="str">
        <f t="shared" si="0"/>
        <v>OK</v>
      </c>
      <c r="AK33" t="s">
        <v>343</v>
      </c>
      <c r="AL33">
        <v>4</v>
      </c>
      <c r="AM33">
        <v>51</v>
      </c>
      <c r="AN33" s="218">
        <v>53631.600000000006</v>
      </c>
      <c r="AO33">
        <v>5</v>
      </c>
      <c r="AP33">
        <v>4</v>
      </c>
      <c r="AQ33" s="217">
        <v>0.8</v>
      </c>
    </row>
    <row r="34" spans="1:43" x14ac:dyDescent="0.35">
      <c r="A34" s="16" t="s">
        <v>14</v>
      </c>
      <c r="B34" s="32">
        <v>2</v>
      </c>
      <c r="C34" s="32">
        <v>87</v>
      </c>
      <c r="D34" s="34">
        <v>122355.78</v>
      </c>
      <c r="E34" s="73">
        <v>2</v>
      </c>
      <c r="F34" s="73">
        <v>2</v>
      </c>
      <c r="G34" s="26">
        <v>1</v>
      </c>
      <c r="H34" s="34"/>
      <c r="I34" s="32">
        <v>1</v>
      </c>
      <c r="J34" s="32">
        <v>99</v>
      </c>
      <c r="K34" s="34">
        <v>33456.17</v>
      </c>
      <c r="L34" s="73">
        <v>9</v>
      </c>
      <c r="M34" s="73">
        <v>5</v>
      </c>
      <c r="N34" s="26">
        <v>0.55555555555555558</v>
      </c>
      <c r="O34" s="34"/>
      <c r="P34" s="32">
        <v>1</v>
      </c>
      <c r="Q34" s="32">
        <v>122</v>
      </c>
      <c r="R34" s="34">
        <v>80450.89</v>
      </c>
      <c r="S34" s="73">
        <v>3</v>
      </c>
      <c r="T34" s="73">
        <v>3</v>
      </c>
      <c r="U34" s="26">
        <v>1</v>
      </c>
      <c r="V34" s="34"/>
      <c r="W34" s="32">
        <v>1</v>
      </c>
      <c r="X34" s="32">
        <v>74</v>
      </c>
      <c r="Y34" s="34">
        <v>55313.47</v>
      </c>
      <c r="Z34" s="73">
        <v>5</v>
      </c>
      <c r="AA34" s="73">
        <v>4</v>
      </c>
      <c r="AB34" s="26">
        <v>0.8</v>
      </c>
      <c r="AC34" s="34"/>
      <c r="AD34" s="97">
        <v>1</v>
      </c>
      <c r="AE34" s="97">
        <v>37</v>
      </c>
      <c r="AF34" s="89">
        <v>14767.619999999999</v>
      </c>
      <c r="AG34" s="97">
        <v>5</v>
      </c>
      <c r="AH34" s="97">
        <v>3</v>
      </c>
      <c r="AI34" s="82">
        <f t="shared" si="2"/>
        <v>0.6</v>
      </c>
      <c r="AJ34" s="155" t="str">
        <f t="shared" si="0"/>
        <v>OK</v>
      </c>
      <c r="AK34" t="s">
        <v>14</v>
      </c>
      <c r="AL34">
        <v>1</v>
      </c>
      <c r="AM34">
        <v>37</v>
      </c>
      <c r="AN34" s="218">
        <v>14767.619999999999</v>
      </c>
      <c r="AO34">
        <v>5</v>
      </c>
      <c r="AP34">
        <v>3</v>
      </c>
      <c r="AQ34" s="217">
        <v>0.6</v>
      </c>
    </row>
    <row r="35" spans="1:43" x14ac:dyDescent="0.35">
      <c r="A35" s="16" t="s">
        <v>15</v>
      </c>
      <c r="B35" s="32">
        <v>11</v>
      </c>
      <c r="C35" s="32">
        <v>113</v>
      </c>
      <c r="D35" s="34">
        <v>1430488.59</v>
      </c>
      <c r="E35" s="73">
        <v>9</v>
      </c>
      <c r="F35" s="73">
        <v>8</v>
      </c>
      <c r="G35" s="26">
        <v>0.88888888888888884</v>
      </c>
      <c r="H35" s="34"/>
      <c r="I35" s="32">
        <v>6</v>
      </c>
      <c r="J35" s="32">
        <v>130</v>
      </c>
      <c r="K35" s="34">
        <v>1595797.3599999999</v>
      </c>
      <c r="L35" s="73">
        <v>14</v>
      </c>
      <c r="M35" s="73">
        <v>5</v>
      </c>
      <c r="N35" s="26">
        <v>0.35714285714285715</v>
      </c>
      <c r="O35" s="34"/>
      <c r="P35" s="32">
        <v>6</v>
      </c>
      <c r="Q35" s="32">
        <v>115</v>
      </c>
      <c r="R35" s="34">
        <v>666622.60000000009</v>
      </c>
      <c r="S35" s="73">
        <v>7</v>
      </c>
      <c r="T35" s="73">
        <v>4</v>
      </c>
      <c r="U35" s="26">
        <v>0.5714285714285714</v>
      </c>
      <c r="V35" s="34"/>
      <c r="W35" s="32">
        <v>11</v>
      </c>
      <c r="X35" s="32">
        <v>64</v>
      </c>
      <c r="Y35" s="34">
        <v>728671.27</v>
      </c>
      <c r="Z35" s="73">
        <v>15</v>
      </c>
      <c r="AA35" s="73">
        <v>8</v>
      </c>
      <c r="AB35" s="26">
        <v>0.53333333333333333</v>
      </c>
      <c r="AC35" s="34"/>
      <c r="AD35" s="97">
        <v>5</v>
      </c>
      <c r="AE35" s="97">
        <v>38</v>
      </c>
      <c r="AF35" s="89">
        <v>531384.57999999996</v>
      </c>
      <c r="AG35" s="97">
        <v>15</v>
      </c>
      <c r="AH35" s="97">
        <v>8</v>
      </c>
      <c r="AI35" s="82">
        <f t="shared" si="2"/>
        <v>0.53333333333333333</v>
      </c>
      <c r="AJ35" s="155" t="str">
        <f t="shared" si="0"/>
        <v>OK</v>
      </c>
      <c r="AK35" t="s">
        <v>15</v>
      </c>
      <c r="AL35">
        <v>5</v>
      </c>
      <c r="AM35">
        <v>38</v>
      </c>
      <c r="AN35" s="218">
        <v>531384.57999999996</v>
      </c>
      <c r="AO35">
        <v>15</v>
      </c>
      <c r="AP35">
        <v>8</v>
      </c>
      <c r="AQ35" s="217">
        <v>0.53333333333333333</v>
      </c>
    </row>
    <row r="36" spans="1:43" x14ac:dyDescent="0.35">
      <c r="A36" s="16" t="s">
        <v>16</v>
      </c>
      <c r="B36" s="32">
        <v>4</v>
      </c>
      <c r="C36" s="32">
        <v>74</v>
      </c>
      <c r="D36" s="34">
        <v>134849.18</v>
      </c>
      <c r="E36" s="73">
        <v>5</v>
      </c>
      <c r="F36" s="73">
        <v>5</v>
      </c>
      <c r="G36" s="26">
        <v>1</v>
      </c>
      <c r="H36" s="34"/>
      <c r="I36" s="32">
        <v>3</v>
      </c>
      <c r="J36" s="32">
        <v>70</v>
      </c>
      <c r="K36" s="34">
        <v>193638.13</v>
      </c>
      <c r="L36" s="73">
        <v>7</v>
      </c>
      <c r="M36" s="73">
        <v>3</v>
      </c>
      <c r="N36" s="26">
        <v>0.42857142857142855</v>
      </c>
      <c r="O36" s="34"/>
      <c r="P36" s="32">
        <v>2</v>
      </c>
      <c r="Q36" s="32">
        <v>79</v>
      </c>
      <c r="R36" s="34">
        <v>303293.77</v>
      </c>
      <c r="S36" s="73">
        <v>5</v>
      </c>
      <c r="T36" s="73">
        <v>3</v>
      </c>
      <c r="U36" s="26">
        <v>0.6</v>
      </c>
      <c r="V36" s="34"/>
      <c r="W36" s="32">
        <v>2</v>
      </c>
      <c r="X36" s="32">
        <v>58</v>
      </c>
      <c r="Y36" s="34">
        <v>132658.12</v>
      </c>
      <c r="Z36" s="73">
        <v>3</v>
      </c>
      <c r="AA36" s="73">
        <v>2</v>
      </c>
      <c r="AB36" s="26">
        <v>0.66666666666666663</v>
      </c>
      <c r="AC36" s="34"/>
      <c r="AD36" s="97">
        <v>2</v>
      </c>
      <c r="AE36" s="97">
        <v>21</v>
      </c>
      <c r="AF36" s="89">
        <v>109987.51000000001</v>
      </c>
      <c r="AG36" s="97">
        <v>3</v>
      </c>
      <c r="AH36" s="97">
        <v>2</v>
      </c>
      <c r="AI36" s="82">
        <f t="shared" si="2"/>
        <v>0.66666666666666663</v>
      </c>
      <c r="AJ36" s="155" t="str">
        <f t="shared" si="0"/>
        <v>OK</v>
      </c>
      <c r="AK36" t="s">
        <v>16</v>
      </c>
      <c r="AL36">
        <v>2</v>
      </c>
      <c r="AM36">
        <v>21</v>
      </c>
      <c r="AN36" s="218">
        <v>109987.51000000001</v>
      </c>
      <c r="AO36">
        <v>3</v>
      </c>
      <c r="AP36">
        <v>2</v>
      </c>
      <c r="AQ36" s="217">
        <v>0.66666666666666663</v>
      </c>
    </row>
    <row r="37" spans="1:43" x14ac:dyDescent="0.35">
      <c r="A37" s="16" t="s">
        <v>344</v>
      </c>
      <c r="B37" s="32">
        <v>1</v>
      </c>
      <c r="C37" s="32">
        <v>207</v>
      </c>
      <c r="D37" s="34">
        <v>7537085.1100000003</v>
      </c>
      <c r="E37" s="73">
        <v>4</v>
      </c>
      <c r="F37" s="73">
        <v>4</v>
      </c>
      <c r="G37" s="26">
        <v>1</v>
      </c>
      <c r="H37" s="34"/>
      <c r="I37" s="32">
        <v>1</v>
      </c>
      <c r="J37" s="32">
        <v>288</v>
      </c>
      <c r="K37" s="34">
        <v>7864998.0499999998</v>
      </c>
      <c r="L37" s="73">
        <v>6</v>
      </c>
      <c r="M37" s="73">
        <v>5</v>
      </c>
      <c r="N37" s="26">
        <v>0.83333333333333337</v>
      </c>
      <c r="O37" s="34"/>
      <c r="P37" s="32">
        <v>1</v>
      </c>
      <c r="Q37" s="32">
        <v>317</v>
      </c>
      <c r="R37" s="34">
        <v>7908519.46</v>
      </c>
      <c r="S37" s="73">
        <v>4</v>
      </c>
      <c r="T37" s="73">
        <v>4</v>
      </c>
      <c r="U37" s="26">
        <v>1</v>
      </c>
      <c r="V37" s="34"/>
      <c r="W37" s="32">
        <v>1</v>
      </c>
      <c r="X37" s="32">
        <v>264</v>
      </c>
      <c r="Y37" s="34">
        <v>6910822.9000000013</v>
      </c>
      <c r="Z37" s="73">
        <v>7</v>
      </c>
      <c r="AA37" s="73">
        <v>7</v>
      </c>
      <c r="AB37" s="26">
        <v>1</v>
      </c>
      <c r="AC37" s="34"/>
      <c r="AD37" s="97">
        <v>1</v>
      </c>
      <c r="AE37" s="97">
        <v>112</v>
      </c>
      <c r="AF37" s="89">
        <v>3212685.5000000009</v>
      </c>
      <c r="AG37" s="97">
        <v>3</v>
      </c>
      <c r="AH37" s="97">
        <v>3</v>
      </c>
      <c r="AI37" s="82">
        <f t="shared" si="2"/>
        <v>1</v>
      </c>
      <c r="AJ37" s="155" t="str">
        <f t="shared" si="0"/>
        <v>OK</v>
      </c>
      <c r="AK37" t="s">
        <v>344</v>
      </c>
      <c r="AL37">
        <v>1</v>
      </c>
      <c r="AM37">
        <v>112</v>
      </c>
      <c r="AN37" s="218">
        <v>3212685.5000000009</v>
      </c>
      <c r="AO37">
        <v>3</v>
      </c>
      <c r="AP37">
        <v>3</v>
      </c>
      <c r="AQ37" s="217">
        <v>1</v>
      </c>
    </row>
    <row r="38" spans="1:43" x14ac:dyDescent="0.35">
      <c r="A38" s="16" t="s">
        <v>17</v>
      </c>
      <c r="B38" s="32">
        <v>2</v>
      </c>
      <c r="C38" s="32">
        <v>13</v>
      </c>
      <c r="D38" s="34">
        <v>141910.31</v>
      </c>
      <c r="E38" s="73">
        <v>3</v>
      </c>
      <c r="F38" s="73">
        <v>2</v>
      </c>
      <c r="G38" s="26">
        <v>0.66666666666666663</v>
      </c>
      <c r="H38" s="34"/>
      <c r="I38" s="32">
        <v>1</v>
      </c>
      <c r="J38" s="32">
        <v>17</v>
      </c>
      <c r="K38" s="34">
        <v>92807.37</v>
      </c>
      <c r="L38" s="73">
        <v>4</v>
      </c>
      <c r="M38" s="73">
        <v>2</v>
      </c>
      <c r="N38" s="26">
        <v>0.5</v>
      </c>
      <c r="O38" s="34"/>
      <c r="P38" s="32">
        <v>1</v>
      </c>
      <c r="Q38" s="32">
        <v>26</v>
      </c>
      <c r="R38" s="34">
        <v>85496.92</v>
      </c>
      <c r="S38" s="73">
        <v>3</v>
      </c>
      <c r="T38" s="73">
        <v>1</v>
      </c>
      <c r="U38" s="26">
        <v>0.33333333333333331</v>
      </c>
      <c r="V38" s="34"/>
      <c r="W38" s="32">
        <v>1</v>
      </c>
      <c r="X38" s="32">
        <v>15</v>
      </c>
      <c r="Y38" s="34">
        <v>79953.239999999991</v>
      </c>
      <c r="Z38" s="73">
        <v>3</v>
      </c>
      <c r="AA38" s="73">
        <v>1</v>
      </c>
      <c r="AB38" s="26">
        <v>0.33333333333333331</v>
      </c>
      <c r="AC38" s="34"/>
      <c r="AD38" s="97">
        <v>1</v>
      </c>
      <c r="AE38" s="97">
        <v>5</v>
      </c>
      <c r="AF38" s="89">
        <v>4788.68</v>
      </c>
      <c r="AG38" s="97">
        <v>3</v>
      </c>
      <c r="AH38" s="97">
        <v>1</v>
      </c>
      <c r="AI38" s="82">
        <f t="shared" si="2"/>
        <v>0.33333333333333331</v>
      </c>
      <c r="AJ38" s="155" t="str">
        <f t="shared" si="0"/>
        <v>OK</v>
      </c>
      <c r="AK38" t="s">
        <v>17</v>
      </c>
      <c r="AL38">
        <v>1</v>
      </c>
      <c r="AM38">
        <v>5</v>
      </c>
      <c r="AN38" s="218">
        <v>4788.68</v>
      </c>
      <c r="AO38">
        <v>3</v>
      </c>
      <c r="AP38">
        <v>1</v>
      </c>
      <c r="AQ38" s="217">
        <v>0.33333333333333331</v>
      </c>
    </row>
    <row r="39" spans="1:43" x14ac:dyDescent="0.35">
      <c r="A39" s="16" t="s">
        <v>358</v>
      </c>
      <c r="B39" s="32">
        <v>19</v>
      </c>
      <c r="C39" s="32">
        <v>324</v>
      </c>
      <c r="D39" s="34">
        <v>10581842.83</v>
      </c>
      <c r="E39" s="73">
        <v>13</v>
      </c>
      <c r="F39" s="73">
        <v>9</v>
      </c>
      <c r="G39" s="26">
        <v>0.69230769230769229</v>
      </c>
      <c r="H39" s="34"/>
      <c r="I39" s="32">
        <v>15</v>
      </c>
      <c r="J39" s="32">
        <v>334</v>
      </c>
      <c r="K39" s="34">
        <v>16489952.729999997</v>
      </c>
      <c r="L39" s="73">
        <v>43</v>
      </c>
      <c r="M39" s="73">
        <v>20</v>
      </c>
      <c r="N39" s="26">
        <v>0.46511627906976744</v>
      </c>
      <c r="O39" s="34"/>
      <c r="P39" s="32">
        <v>8</v>
      </c>
      <c r="Q39" s="32">
        <v>237</v>
      </c>
      <c r="R39" s="34">
        <v>17488956.470000003</v>
      </c>
      <c r="S39" s="73">
        <v>21</v>
      </c>
      <c r="T39" s="73">
        <v>13</v>
      </c>
      <c r="U39" s="26">
        <v>0.61904761904761907</v>
      </c>
      <c r="V39" s="34"/>
      <c r="W39" s="32">
        <v>6</v>
      </c>
      <c r="X39" s="32">
        <v>172</v>
      </c>
      <c r="Y39" s="34">
        <v>14179144.889999999</v>
      </c>
      <c r="Z39" s="73">
        <v>20</v>
      </c>
      <c r="AA39" s="73">
        <v>14</v>
      </c>
      <c r="AB39" s="26">
        <v>0.7</v>
      </c>
      <c r="AC39" s="34"/>
      <c r="AD39" s="97">
        <v>4</v>
      </c>
      <c r="AE39" s="97">
        <v>71</v>
      </c>
      <c r="AF39" s="89">
        <v>14102801.880000001</v>
      </c>
      <c r="AG39" s="97">
        <v>18</v>
      </c>
      <c r="AH39" s="97">
        <v>14</v>
      </c>
      <c r="AI39" s="82">
        <f t="shared" si="2"/>
        <v>0.77777777777777779</v>
      </c>
      <c r="AJ39" s="155" t="str">
        <f t="shared" si="0"/>
        <v>OK</v>
      </c>
      <c r="AK39" t="s">
        <v>358</v>
      </c>
      <c r="AL39">
        <v>4</v>
      </c>
      <c r="AM39">
        <v>71</v>
      </c>
      <c r="AN39" s="218">
        <v>14102801.880000001</v>
      </c>
      <c r="AO39">
        <v>18</v>
      </c>
      <c r="AP39">
        <v>14</v>
      </c>
      <c r="AQ39" s="217">
        <v>0.77777777777777779</v>
      </c>
    </row>
    <row r="40" spans="1:43" x14ac:dyDescent="0.35">
      <c r="A40" s="16" t="s">
        <v>25</v>
      </c>
      <c r="B40" s="32">
        <v>17</v>
      </c>
      <c r="C40" s="32">
        <v>301</v>
      </c>
      <c r="D40" s="34">
        <v>961955.19000000006</v>
      </c>
      <c r="E40" s="73">
        <v>13</v>
      </c>
      <c r="F40" s="73">
        <v>9</v>
      </c>
      <c r="G40" s="26">
        <v>0.69230769230769229</v>
      </c>
      <c r="H40" s="34"/>
      <c r="I40" s="32">
        <v>13</v>
      </c>
      <c r="J40" s="32">
        <v>265</v>
      </c>
      <c r="K40" s="34">
        <v>1883747.94</v>
      </c>
      <c r="L40" s="73">
        <v>32</v>
      </c>
      <c r="M40" s="73">
        <v>12</v>
      </c>
      <c r="N40" s="26">
        <v>0.375</v>
      </c>
      <c r="O40" s="34"/>
      <c r="P40" s="32">
        <v>11</v>
      </c>
      <c r="Q40" s="32">
        <v>189</v>
      </c>
      <c r="R40" s="34">
        <v>658805.6</v>
      </c>
      <c r="S40" s="73">
        <v>22</v>
      </c>
      <c r="T40" s="73">
        <v>10</v>
      </c>
      <c r="U40" s="26">
        <v>0.45454545454545453</v>
      </c>
      <c r="V40" s="34"/>
      <c r="W40" s="32">
        <v>11</v>
      </c>
      <c r="X40" s="32">
        <v>82</v>
      </c>
      <c r="Y40" s="34">
        <v>3579839.0500000003</v>
      </c>
      <c r="Z40" s="73">
        <v>22</v>
      </c>
      <c r="AA40" s="73">
        <v>8</v>
      </c>
      <c r="AB40" s="26">
        <v>0.36363636363636365</v>
      </c>
      <c r="AC40" s="34"/>
      <c r="AD40" s="97">
        <v>7</v>
      </c>
      <c r="AE40" s="97">
        <v>40</v>
      </c>
      <c r="AF40" s="89">
        <v>17321269.629999999</v>
      </c>
      <c r="AG40" s="97">
        <v>21</v>
      </c>
      <c r="AH40" s="97">
        <v>9</v>
      </c>
      <c r="AI40" s="82">
        <f t="shared" si="2"/>
        <v>0.42857142857142855</v>
      </c>
      <c r="AJ40" s="155" t="str">
        <f t="shared" si="0"/>
        <v>OK</v>
      </c>
      <c r="AK40" t="s">
        <v>25</v>
      </c>
      <c r="AL40">
        <v>7</v>
      </c>
      <c r="AM40">
        <v>40</v>
      </c>
      <c r="AN40" s="218">
        <v>17321269.629999999</v>
      </c>
      <c r="AO40">
        <v>21</v>
      </c>
      <c r="AP40">
        <v>9</v>
      </c>
      <c r="AQ40" s="217">
        <v>0.42857142857142855</v>
      </c>
    </row>
    <row r="41" spans="1:43" x14ac:dyDescent="0.35">
      <c r="A41" s="16" t="s">
        <v>18</v>
      </c>
      <c r="B41" s="32">
        <v>8</v>
      </c>
      <c r="C41" s="32">
        <v>134</v>
      </c>
      <c r="D41" s="34">
        <v>2967759.26</v>
      </c>
      <c r="E41" s="73">
        <v>7</v>
      </c>
      <c r="F41" s="73">
        <v>5</v>
      </c>
      <c r="G41" s="26">
        <v>0.7142857142857143</v>
      </c>
      <c r="H41" s="34"/>
      <c r="I41" s="32">
        <v>7</v>
      </c>
      <c r="J41" s="32">
        <v>165</v>
      </c>
      <c r="K41" s="34">
        <v>2854471.6</v>
      </c>
      <c r="L41" s="73">
        <v>16</v>
      </c>
      <c r="M41" s="73">
        <v>9</v>
      </c>
      <c r="N41" s="26">
        <v>0.5625</v>
      </c>
      <c r="O41" s="34"/>
      <c r="P41" s="32">
        <v>4</v>
      </c>
      <c r="Q41" s="32">
        <v>142</v>
      </c>
      <c r="R41" s="34">
        <v>2228100.2000000002</v>
      </c>
      <c r="S41" s="73">
        <v>7</v>
      </c>
      <c r="T41" s="73">
        <v>6</v>
      </c>
      <c r="U41" s="26">
        <v>0.8571428571428571</v>
      </c>
      <c r="V41" s="34"/>
      <c r="W41" s="32">
        <v>5</v>
      </c>
      <c r="X41" s="32">
        <v>92</v>
      </c>
      <c r="Y41" s="34">
        <v>2067448.5500000003</v>
      </c>
      <c r="Z41" s="73">
        <v>8</v>
      </c>
      <c r="AA41" s="73">
        <v>5</v>
      </c>
      <c r="AB41" s="26">
        <v>0.625</v>
      </c>
      <c r="AC41" s="34"/>
      <c r="AD41" s="97">
        <v>4</v>
      </c>
      <c r="AE41" s="97">
        <v>66</v>
      </c>
      <c r="AF41" s="89">
        <v>1553350.1000000003</v>
      </c>
      <c r="AG41" s="97">
        <v>8</v>
      </c>
      <c r="AH41" s="97">
        <v>5</v>
      </c>
      <c r="AI41" s="82">
        <f t="shared" si="2"/>
        <v>0.625</v>
      </c>
      <c r="AJ41" s="155" t="str">
        <f t="shared" si="0"/>
        <v>OK</v>
      </c>
      <c r="AK41" t="s">
        <v>18</v>
      </c>
      <c r="AL41">
        <v>4</v>
      </c>
      <c r="AM41">
        <v>66</v>
      </c>
      <c r="AN41" s="218">
        <v>1553350.1000000003</v>
      </c>
      <c r="AO41">
        <v>8</v>
      </c>
      <c r="AP41">
        <v>5</v>
      </c>
      <c r="AQ41" s="217">
        <v>0.625</v>
      </c>
    </row>
    <row r="42" spans="1:43" x14ac:dyDescent="0.35">
      <c r="A42" s="16" t="s">
        <v>353</v>
      </c>
      <c r="B42" s="32">
        <v>1</v>
      </c>
      <c r="C42" s="32">
        <v>930</v>
      </c>
      <c r="D42" s="34">
        <v>22945554.609999999</v>
      </c>
      <c r="E42" s="73">
        <v>1</v>
      </c>
      <c r="F42" s="73">
        <v>1</v>
      </c>
      <c r="G42" s="26">
        <v>1</v>
      </c>
      <c r="H42" s="34"/>
      <c r="I42" s="32">
        <v>1</v>
      </c>
      <c r="J42" s="32">
        <v>933</v>
      </c>
      <c r="K42" s="34">
        <v>23416183.620000001</v>
      </c>
      <c r="L42" s="73">
        <v>6</v>
      </c>
      <c r="M42" s="73">
        <v>5</v>
      </c>
      <c r="N42" s="26">
        <v>0.83333333333333337</v>
      </c>
      <c r="O42" s="34"/>
      <c r="P42" s="32">
        <v>1</v>
      </c>
      <c r="Q42" s="32">
        <v>951</v>
      </c>
      <c r="R42" s="34">
        <v>22099019.32</v>
      </c>
      <c r="S42" s="73">
        <v>4</v>
      </c>
      <c r="T42" s="73">
        <v>4</v>
      </c>
      <c r="U42" s="26">
        <v>1</v>
      </c>
      <c r="V42" s="34"/>
      <c r="W42" s="32">
        <v>1</v>
      </c>
      <c r="X42" s="32">
        <v>719</v>
      </c>
      <c r="Y42" s="34">
        <v>19023774.75</v>
      </c>
      <c r="Z42" s="73">
        <v>4</v>
      </c>
      <c r="AA42" s="73">
        <v>3</v>
      </c>
      <c r="AB42" s="26">
        <v>0.75</v>
      </c>
      <c r="AC42" s="34"/>
      <c r="AD42" s="97">
        <v>1</v>
      </c>
      <c r="AE42" s="97">
        <v>128</v>
      </c>
      <c r="AF42" s="89">
        <v>8416747.0800000001</v>
      </c>
      <c r="AG42" s="97">
        <v>3</v>
      </c>
      <c r="AH42" s="97">
        <v>3</v>
      </c>
      <c r="AI42" s="82">
        <f t="shared" si="2"/>
        <v>1</v>
      </c>
      <c r="AJ42" s="155" t="str">
        <f t="shared" si="0"/>
        <v>OK</v>
      </c>
      <c r="AK42" t="s">
        <v>353</v>
      </c>
      <c r="AL42">
        <v>1</v>
      </c>
      <c r="AM42">
        <v>128</v>
      </c>
      <c r="AN42" s="218">
        <v>8416747.0800000001</v>
      </c>
      <c r="AO42">
        <v>3</v>
      </c>
      <c r="AP42">
        <v>3</v>
      </c>
      <c r="AQ42" s="217">
        <v>1</v>
      </c>
    </row>
    <row r="43" spans="1:43" x14ac:dyDescent="0.35">
      <c r="A43" s="16" t="s">
        <v>354</v>
      </c>
      <c r="B43" s="32">
        <v>1</v>
      </c>
      <c r="C43" s="32">
        <v>942</v>
      </c>
      <c r="D43" s="34">
        <v>21133618.050000001</v>
      </c>
      <c r="E43" s="73">
        <v>1</v>
      </c>
      <c r="F43" s="73">
        <v>1</v>
      </c>
      <c r="G43" s="26">
        <v>1</v>
      </c>
      <c r="H43" s="34"/>
      <c r="I43" s="32">
        <v>1</v>
      </c>
      <c r="J43" s="32">
        <v>916</v>
      </c>
      <c r="K43" s="34">
        <v>19231144.620000001</v>
      </c>
      <c r="L43" s="73">
        <v>7</v>
      </c>
      <c r="M43" s="73">
        <v>5</v>
      </c>
      <c r="N43" s="26">
        <v>0.7142857142857143</v>
      </c>
      <c r="O43" s="34"/>
      <c r="P43" s="32">
        <v>1</v>
      </c>
      <c r="Q43" s="32">
        <v>854</v>
      </c>
      <c r="R43" s="34">
        <v>16388219.119999999</v>
      </c>
      <c r="S43" s="73">
        <v>5</v>
      </c>
      <c r="T43" s="73">
        <v>4</v>
      </c>
      <c r="U43" s="26">
        <v>0.8</v>
      </c>
      <c r="V43" s="34"/>
      <c r="W43" s="32">
        <v>1</v>
      </c>
      <c r="X43" s="32">
        <v>675</v>
      </c>
      <c r="Y43" s="34">
        <v>15216272.489999998</v>
      </c>
      <c r="Z43" s="73">
        <v>8</v>
      </c>
      <c r="AA43" s="73">
        <v>5</v>
      </c>
      <c r="AB43" s="26">
        <v>0.625</v>
      </c>
      <c r="AC43" s="34"/>
      <c r="AD43" s="97">
        <v>1</v>
      </c>
      <c r="AE43" s="97">
        <v>257</v>
      </c>
      <c r="AF43" s="89">
        <v>8580836.1399999987</v>
      </c>
      <c r="AG43" s="97">
        <v>6</v>
      </c>
      <c r="AH43" s="97">
        <v>2</v>
      </c>
      <c r="AI43" s="82">
        <f t="shared" si="2"/>
        <v>0.33333333333333331</v>
      </c>
      <c r="AJ43" s="155" t="str">
        <f t="shared" si="0"/>
        <v>OK</v>
      </c>
      <c r="AK43" t="s">
        <v>354</v>
      </c>
      <c r="AL43">
        <v>1</v>
      </c>
      <c r="AM43">
        <v>257</v>
      </c>
      <c r="AN43" s="218">
        <v>8580836.1399999987</v>
      </c>
      <c r="AO43">
        <v>6</v>
      </c>
      <c r="AP43">
        <v>2</v>
      </c>
      <c r="AQ43" s="217">
        <v>0.33333333333333331</v>
      </c>
    </row>
    <row r="44" spans="1:43" x14ac:dyDescent="0.35">
      <c r="A44" s="16" t="s">
        <v>409</v>
      </c>
      <c r="B44" s="32">
        <v>58</v>
      </c>
      <c r="C44" s="32">
        <v>5118</v>
      </c>
      <c r="D44" s="34">
        <v>100077256.58</v>
      </c>
      <c r="E44" s="73">
        <v>48</v>
      </c>
      <c r="F44" s="73">
        <v>27</v>
      </c>
      <c r="G44" s="26">
        <v>0.5625</v>
      </c>
      <c r="H44" s="34"/>
      <c r="I44" s="32">
        <v>39</v>
      </c>
      <c r="J44" s="32">
        <v>5993</v>
      </c>
      <c r="K44" s="34">
        <v>123133998.39</v>
      </c>
      <c r="L44" s="73">
        <v>160</v>
      </c>
      <c r="M44" s="73">
        <v>73</v>
      </c>
      <c r="N44" s="26">
        <v>0.45624999999999999</v>
      </c>
      <c r="O44" s="34"/>
      <c r="P44" s="32">
        <v>41</v>
      </c>
      <c r="Q44" s="32">
        <v>6158</v>
      </c>
      <c r="R44" s="34">
        <v>108986967.89999999</v>
      </c>
      <c r="S44" s="73">
        <v>81</v>
      </c>
      <c r="T44" s="73">
        <v>41</v>
      </c>
      <c r="U44" s="26">
        <v>0.50617283950617287</v>
      </c>
      <c r="V44" s="34"/>
      <c r="W44" s="32">
        <v>68</v>
      </c>
      <c r="X44" s="32">
        <v>9915</v>
      </c>
      <c r="Y44" s="34">
        <v>102789843.43999998</v>
      </c>
      <c r="Z44" s="73">
        <v>133</v>
      </c>
      <c r="AA44" s="73">
        <v>59</v>
      </c>
      <c r="AB44" s="26">
        <v>0.44360902255639095</v>
      </c>
      <c r="AC44" s="34"/>
      <c r="AD44" s="97">
        <v>55</v>
      </c>
      <c r="AE44" s="97">
        <v>7076</v>
      </c>
      <c r="AF44" s="89">
        <v>68223792.560000002</v>
      </c>
      <c r="AG44" s="97">
        <v>125</v>
      </c>
      <c r="AH44" s="97">
        <v>53</v>
      </c>
      <c r="AI44" s="82">
        <f t="shared" si="2"/>
        <v>0.42399999999999999</v>
      </c>
      <c r="AJ44" s="155" t="str">
        <f t="shared" si="0"/>
        <v>OK</v>
      </c>
      <c r="AK44" t="s">
        <v>409</v>
      </c>
      <c r="AL44">
        <v>55</v>
      </c>
      <c r="AM44">
        <v>7076</v>
      </c>
      <c r="AN44" s="218">
        <v>68223792.560000002</v>
      </c>
      <c r="AO44">
        <v>125</v>
      </c>
      <c r="AP44">
        <v>53</v>
      </c>
      <c r="AQ44" s="217">
        <v>0.42399999999999999</v>
      </c>
    </row>
    <row r="45" spans="1:43" x14ac:dyDescent="0.35">
      <c r="A45" s="16" t="s">
        <v>28</v>
      </c>
      <c r="B45" s="32">
        <v>1</v>
      </c>
      <c r="C45" s="32">
        <v>22</v>
      </c>
      <c r="D45" s="34">
        <v>52408.59</v>
      </c>
      <c r="E45" s="73">
        <v>1</v>
      </c>
      <c r="F45" s="73">
        <v>0</v>
      </c>
      <c r="G45" s="26">
        <v>0</v>
      </c>
      <c r="H45" s="34"/>
      <c r="I45" s="32">
        <v>1</v>
      </c>
      <c r="J45" s="32">
        <v>27</v>
      </c>
      <c r="K45" s="34">
        <v>2211315.19</v>
      </c>
      <c r="L45" s="73">
        <v>4</v>
      </c>
      <c r="M45" s="73">
        <v>0</v>
      </c>
      <c r="N45" s="26">
        <v>0</v>
      </c>
      <c r="O45" s="34"/>
      <c r="P45" s="32">
        <v>1</v>
      </c>
      <c r="Q45" s="32">
        <v>18</v>
      </c>
      <c r="R45" s="34">
        <v>350588.11</v>
      </c>
      <c r="S45" s="73">
        <v>3</v>
      </c>
      <c r="T45" s="73">
        <v>1</v>
      </c>
      <c r="U45" s="26">
        <v>0.33333333333333331</v>
      </c>
      <c r="V45" s="34"/>
      <c r="W45" s="32">
        <v>1</v>
      </c>
      <c r="X45" s="32">
        <v>20</v>
      </c>
      <c r="Y45" s="34">
        <v>270829.19</v>
      </c>
      <c r="Z45" s="73">
        <v>3</v>
      </c>
      <c r="AA45" s="73">
        <v>1</v>
      </c>
      <c r="AB45" s="26">
        <v>0.33333333333333331</v>
      </c>
      <c r="AC45" s="34"/>
      <c r="AD45" s="97">
        <v>1</v>
      </c>
      <c r="AE45" s="97">
        <v>8</v>
      </c>
      <c r="AF45" s="89">
        <v>107837.45</v>
      </c>
      <c r="AG45" s="97">
        <v>3</v>
      </c>
      <c r="AH45" s="97">
        <v>0</v>
      </c>
      <c r="AI45" s="82">
        <f t="shared" si="2"/>
        <v>0</v>
      </c>
      <c r="AJ45" s="155" t="str">
        <f t="shared" si="0"/>
        <v>OK</v>
      </c>
      <c r="AK45" t="s">
        <v>28</v>
      </c>
      <c r="AL45">
        <v>1</v>
      </c>
      <c r="AM45">
        <v>8</v>
      </c>
      <c r="AN45" s="218">
        <v>107837.45</v>
      </c>
      <c r="AO45">
        <v>3</v>
      </c>
      <c r="AP45">
        <v>0</v>
      </c>
      <c r="AQ45" s="217">
        <v>0</v>
      </c>
    </row>
    <row r="46" spans="1:43" x14ac:dyDescent="0.35">
      <c r="A46" s="16" t="s">
        <v>29</v>
      </c>
      <c r="B46" s="32">
        <v>1</v>
      </c>
      <c r="C46" s="32">
        <v>8</v>
      </c>
      <c r="D46" s="34">
        <v>19743.560000000001</v>
      </c>
      <c r="E46" s="73">
        <v>2</v>
      </c>
      <c r="F46" s="73">
        <v>2</v>
      </c>
      <c r="G46" s="26">
        <v>1</v>
      </c>
      <c r="H46" s="34"/>
      <c r="I46" s="32">
        <v>1</v>
      </c>
      <c r="J46" s="32">
        <v>9</v>
      </c>
      <c r="K46" s="34">
        <v>11883</v>
      </c>
      <c r="L46" s="73">
        <v>2</v>
      </c>
      <c r="M46" s="73">
        <v>1</v>
      </c>
      <c r="N46" s="26">
        <v>0.5</v>
      </c>
      <c r="O46" s="34"/>
      <c r="P46" s="32">
        <v>1</v>
      </c>
      <c r="Q46" s="32">
        <v>18</v>
      </c>
      <c r="R46" s="34">
        <v>18140.66</v>
      </c>
      <c r="S46" s="73">
        <v>2</v>
      </c>
      <c r="T46" s="73">
        <v>1</v>
      </c>
      <c r="U46" s="26">
        <v>0.5</v>
      </c>
      <c r="V46" s="34"/>
      <c r="W46" s="32">
        <v>1</v>
      </c>
      <c r="X46" s="32">
        <v>15</v>
      </c>
      <c r="Y46" s="34">
        <v>44625.22</v>
      </c>
      <c r="Z46" s="73">
        <v>2</v>
      </c>
      <c r="AA46" s="73">
        <v>2</v>
      </c>
      <c r="AB46" s="26">
        <v>1</v>
      </c>
      <c r="AC46" s="34"/>
      <c r="AD46" s="97">
        <v>1</v>
      </c>
      <c r="AE46" s="97">
        <v>1</v>
      </c>
      <c r="AF46" s="89">
        <v>580.97</v>
      </c>
      <c r="AG46" s="97">
        <v>2</v>
      </c>
      <c r="AH46" s="97">
        <v>2</v>
      </c>
      <c r="AI46" s="82">
        <f t="shared" si="2"/>
        <v>1</v>
      </c>
      <c r="AJ46" s="155" t="str">
        <f t="shared" si="0"/>
        <v>OK</v>
      </c>
      <c r="AK46" s="16" t="s">
        <v>29</v>
      </c>
      <c r="AL46">
        <v>1</v>
      </c>
      <c r="AM46">
        <v>1</v>
      </c>
      <c r="AN46" s="218">
        <v>580.97</v>
      </c>
      <c r="AO46">
        <v>2</v>
      </c>
      <c r="AP46">
        <v>2</v>
      </c>
      <c r="AQ46" s="217">
        <v>1</v>
      </c>
    </row>
    <row r="47" spans="1:43" x14ac:dyDescent="0.35">
      <c r="A47" s="16" t="s">
        <v>359</v>
      </c>
      <c r="B47" s="32">
        <v>7</v>
      </c>
      <c r="C47" s="32">
        <v>286</v>
      </c>
      <c r="D47" s="34">
        <v>1848321.6399999997</v>
      </c>
      <c r="E47" s="73">
        <v>5</v>
      </c>
      <c r="F47" s="73">
        <v>4</v>
      </c>
      <c r="G47" s="26">
        <v>0.8</v>
      </c>
      <c r="H47" s="34"/>
      <c r="I47" s="32">
        <v>4</v>
      </c>
      <c r="J47" s="32">
        <v>228</v>
      </c>
      <c r="K47" s="34">
        <v>1765853.03</v>
      </c>
      <c r="L47" s="73">
        <v>7</v>
      </c>
      <c r="M47" s="73">
        <v>5</v>
      </c>
      <c r="N47" s="26">
        <v>0.7142857142857143</v>
      </c>
      <c r="O47" s="34"/>
      <c r="P47" s="32">
        <v>4</v>
      </c>
      <c r="Q47" s="32">
        <v>170</v>
      </c>
      <c r="R47" s="34">
        <v>1767678.9300000002</v>
      </c>
      <c r="S47" s="73">
        <v>7</v>
      </c>
      <c r="T47" s="73">
        <v>4</v>
      </c>
      <c r="U47" s="26">
        <v>0.5714285714285714</v>
      </c>
      <c r="V47" s="34"/>
      <c r="W47" s="32">
        <v>4</v>
      </c>
      <c r="X47" s="32">
        <v>107</v>
      </c>
      <c r="Y47" s="34">
        <v>1545582.5300000003</v>
      </c>
      <c r="Z47" s="73">
        <v>7</v>
      </c>
      <c r="AA47" s="73">
        <v>4</v>
      </c>
      <c r="AB47" s="26">
        <v>0.5714285714285714</v>
      </c>
      <c r="AC47" s="34"/>
      <c r="AD47" s="97">
        <v>4</v>
      </c>
      <c r="AE47" s="97">
        <v>104</v>
      </c>
      <c r="AF47" s="89">
        <v>1492553.6</v>
      </c>
      <c r="AG47" s="97">
        <v>7</v>
      </c>
      <c r="AH47" s="97">
        <v>4</v>
      </c>
      <c r="AI47" s="82">
        <f t="shared" si="2"/>
        <v>0.5714285714285714</v>
      </c>
      <c r="AJ47" s="155" t="str">
        <f t="shared" si="0"/>
        <v>OK</v>
      </c>
      <c r="AK47" s="16" t="s">
        <v>359</v>
      </c>
      <c r="AL47">
        <v>4</v>
      </c>
      <c r="AM47">
        <v>104</v>
      </c>
      <c r="AN47" s="218">
        <v>1492553.6</v>
      </c>
      <c r="AO47">
        <v>7</v>
      </c>
      <c r="AP47">
        <v>4</v>
      </c>
      <c r="AQ47" s="217">
        <v>0.5714285714285714</v>
      </c>
    </row>
    <row r="48" spans="1:43" x14ac:dyDescent="0.35">
      <c r="A48" s="16" t="s">
        <v>30</v>
      </c>
      <c r="B48" s="32">
        <v>8</v>
      </c>
      <c r="C48" s="32">
        <v>197</v>
      </c>
      <c r="D48" s="34">
        <v>11418378.459999997</v>
      </c>
      <c r="E48" s="73">
        <v>10</v>
      </c>
      <c r="F48" s="73">
        <v>8</v>
      </c>
      <c r="G48" s="26">
        <v>0.8</v>
      </c>
      <c r="H48" s="34"/>
      <c r="I48" s="32">
        <v>5</v>
      </c>
      <c r="J48" s="32">
        <v>338</v>
      </c>
      <c r="K48" s="34">
        <v>72204520.739999995</v>
      </c>
      <c r="L48" s="73">
        <v>21</v>
      </c>
      <c r="M48" s="73">
        <v>17</v>
      </c>
      <c r="N48" s="26">
        <v>0.80952380952380953</v>
      </c>
      <c r="O48" s="34"/>
      <c r="P48" s="32">
        <v>5</v>
      </c>
      <c r="Q48" s="32">
        <v>324</v>
      </c>
      <c r="R48" s="34">
        <v>71650085.609999999</v>
      </c>
      <c r="S48" s="73">
        <v>17</v>
      </c>
      <c r="T48" s="73">
        <v>12</v>
      </c>
      <c r="U48" s="26">
        <v>0.70588235294117652</v>
      </c>
      <c r="V48" s="34"/>
      <c r="W48" s="32">
        <v>4</v>
      </c>
      <c r="X48" s="32">
        <v>298</v>
      </c>
      <c r="Y48" s="34">
        <v>72218638.790000007</v>
      </c>
      <c r="Z48" s="73">
        <v>16</v>
      </c>
      <c r="AA48" s="73">
        <v>13</v>
      </c>
      <c r="AB48" s="26">
        <v>0.8125</v>
      </c>
      <c r="AC48" s="34"/>
      <c r="AD48" s="97">
        <v>2</v>
      </c>
      <c r="AE48" s="97">
        <v>166</v>
      </c>
      <c r="AF48" s="89">
        <v>81348668.050000012</v>
      </c>
      <c r="AG48" s="97">
        <v>16</v>
      </c>
      <c r="AH48" s="97">
        <v>13</v>
      </c>
      <c r="AI48" s="82">
        <f t="shared" si="2"/>
        <v>0.8125</v>
      </c>
      <c r="AJ48" s="155" t="str">
        <f t="shared" si="0"/>
        <v>OK</v>
      </c>
      <c r="AK48" t="s">
        <v>30</v>
      </c>
      <c r="AL48">
        <v>2</v>
      </c>
      <c r="AM48">
        <v>166</v>
      </c>
      <c r="AN48" s="218">
        <v>81348668.050000012</v>
      </c>
      <c r="AO48">
        <v>16</v>
      </c>
      <c r="AP48">
        <v>13</v>
      </c>
      <c r="AQ48" s="217">
        <v>0.8125</v>
      </c>
    </row>
    <row r="49" spans="1:43" x14ac:dyDescent="0.35">
      <c r="A49" s="16" t="s">
        <v>31</v>
      </c>
      <c r="B49" s="32">
        <v>1</v>
      </c>
      <c r="C49" s="32">
        <v>31</v>
      </c>
      <c r="D49" s="34">
        <v>171802.9</v>
      </c>
      <c r="E49" s="73">
        <v>3</v>
      </c>
      <c r="F49" s="73">
        <v>1</v>
      </c>
      <c r="G49" s="26">
        <v>0.33333333333333331</v>
      </c>
      <c r="H49" s="34"/>
      <c r="I49" s="32">
        <v>1</v>
      </c>
      <c r="J49" s="32">
        <v>17</v>
      </c>
      <c r="K49" s="34">
        <v>99961.26</v>
      </c>
      <c r="L49" s="73">
        <v>2</v>
      </c>
      <c r="M49" s="73">
        <v>0</v>
      </c>
      <c r="N49" s="26">
        <v>0</v>
      </c>
      <c r="O49" s="34"/>
      <c r="P49" s="32">
        <v>1</v>
      </c>
      <c r="Q49" s="32">
        <v>7</v>
      </c>
      <c r="R49" s="34">
        <v>75775.360000000001</v>
      </c>
      <c r="S49" s="73">
        <v>2</v>
      </c>
      <c r="T49" s="73"/>
      <c r="U49" s="26">
        <v>0</v>
      </c>
      <c r="V49" s="34"/>
      <c r="W49" s="32">
        <v>1</v>
      </c>
      <c r="X49" s="32">
        <v>19</v>
      </c>
      <c r="Y49" s="34">
        <v>45735.810000000005</v>
      </c>
      <c r="Z49" s="73">
        <v>2</v>
      </c>
      <c r="AA49" s="73"/>
      <c r="AB49" s="26">
        <v>0</v>
      </c>
      <c r="AC49" s="34"/>
      <c r="AD49" s="97">
        <v>2</v>
      </c>
      <c r="AE49" s="97">
        <v>27</v>
      </c>
      <c r="AF49" s="89">
        <v>72493.100000000006</v>
      </c>
      <c r="AG49" s="97">
        <v>5</v>
      </c>
      <c r="AH49" s="97">
        <v>1</v>
      </c>
      <c r="AI49" s="82">
        <f t="shared" si="2"/>
        <v>0.2</v>
      </c>
      <c r="AJ49" s="155" t="str">
        <f t="shared" si="0"/>
        <v>OK</v>
      </c>
      <c r="AK49" t="s">
        <v>31</v>
      </c>
      <c r="AL49">
        <v>2</v>
      </c>
      <c r="AM49">
        <v>27</v>
      </c>
      <c r="AN49" s="218">
        <v>72493.100000000006</v>
      </c>
      <c r="AO49">
        <v>5</v>
      </c>
      <c r="AP49">
        <v>1</v>
      </c>
      <c r="AQ49" s="217">
        <v>0.2</v>
      </c>
    </row>
    <row r="50" spans="1:43" x14ac:dyDescent="0.35">
      <c r="A50" s="16" t="s">
        <v>32</v>
      </c>
      <c r="B50" s="32">
        <v>8</v>
      </c>
      <c r="C50" s="32">
        <v>516</v>
      </c>
      <c r="D50" s="34">
        <v>22231697.839999996</v>
      </c>
      <c r="E50" s="73">
        <v>12</v>
      </c>
      <c r="F50" s="73">
        <v>12</v>
      </c>
      <c r="G50" s="26">
        <v>1</v>
      </c>
      <c r="H50" s="34"/>
      <c r="I50" s="32">
        <v>4</v>
      </c>
      <c r="J50" s="32">
        <v>459</v>
      </c>
      <c r="K50" s="34">
        <v>20032366.899999999</v>
      </c>
      <c r="L50" s="73">
        <v>20</v>
      </c>
      <c r="M50" s="73">
        <v>14</v>
      </c>
      <c r="N50" s="26">
        <v>0.7</v>
      </c>
      <c r="O50" s="34"/>
      <c r="P50" s="32">
        <v>3</v>
      </c>
      <c r="Q50" s="32">
        <v>388</v>
      </c>
      <c r="R50" s="34">
        <v>1509468.8</v>
      </c>
      <c r="S50" s="73">
        <v>11</v>
      </c>
      <c r="T50" s="73">
        <v>8</v>
      </c>
      <c r="U50" s="26">
        <v>0.72727272727272729</v>
      </c>
      <c r="V50" s="34"/>
      <c r="W50" s="32">
        <v>3</v>
      </c>
      <c r="X50" s="32">
        <v>298</v>
      </c>
      <c r="Y50" s="34">
        <v>797415.77</v>
      </c>
      <c r="Z50" s="73">
        <v>16</v>
      </c>
      <c r="AA50" s="73">
        <v>10</v>
      </c>
      <c r="AB50" s="26">
        <v>0.625</v>
      </c>
      <c r="AC50" s="34"/>
      <c r="AD50" s="97">
        <v>3</v>
      </c>
      <c r="AE50" s="97">
        <v>66</v>
      </c>
      <c r="AF50" s="89">
        <v>979794.77</v>
      </c>
      <c r="AG50" s="97">
        <v>10</v>
      </c>
      <c r="AH50" s="97">
        <v>6</v>
      </c>
      <c r="AI50" s="82">
        <f t="shared" si="2"/>
        <v>0.6</v>
      </c>
      <c r="AJ50" s="155" t="str">
        <f t="shared" si="0"/>
        <v>OK</v>
      </c>
      <c r="AK50" t="s">
        <v>32</v>
      </c>
      <c r="AL50">
        <v>3</v>
      </c>
      <c r="AM50">
        <v>66</v>
      </c>
      <c r="AN50" s="218">
        <v>979794.77</v>
      </c>
      <c r="AO50">
        <v>10</v>
      </c>
      <c r="AP50">
        <v>6</v>
      </c>
      <c r="AQ50" s="217">
        <v>0.6</v>
      </c>
    </row>
    <row r="51" spans="1:43" x14ac:dyDescent="0.35">
      <c r="A51" s="16" t="s">
        <v>33</v>
      </c>
      <c r="B51" s="32">
        <v>84</v>
      </c>
      <c r="C51" s="32">
        <v>6039</v>
      </c>
      <c r="D51" s="34">
        <v>10256590.9</v>
      </c>
      <c r="E51" s="73">
        <v>70</v>
      </c>
      <c r="F51" s="73">
        <v>45</v>
      </c>
      <c r="G51" s="26">
        <v>0.6428571428571429</v>
      </c>
      <c r="H51" s="34"/>
      <c r="I51" s="32">
        <v>48</v>
      </c>
      <c r="J51" s="32">
        <v>5789</v>
      </c>
      <c r="K51" s="34">
        <v>9550445.0299999993</v>
      </c>
      <c r="L51" s="73">
        <v>116</v>
      </c>
      <c r="M51" s="73">
        <v>67</v>
      </c>
      <c r="N51" s="26">
        <v>0.57758620689655171</v>
      </c>
      <c r="O51" s="34"/>
      <c r="P51" s="32">
        <v>43</v>
      </c>
      <c r="Q51" s="32">
        <v>4992</v>
      </c>
      <c r="R51" s="34">
        <v>10040762.879999999</v>
      </c>
      <c r="S51" s="73">
        <v>106</v>
      </c>
      <c r="T51" s="73">
        <v>69</v>
      </c>
      <c r="U51" s="26">
        <v>0.65094339622641506</v>
      </c>
      <c r="V51" s="34"/>
      <c r="W51" s="32">
        <v>44</v>
      </c>
      <c r="X51" s="32">
        <v>3621</v>
      </c>
      <c r="Y51" s="34">
        <v>6432976.9400000004</v>
      </c>
      <c r="Z51" s="73">
        <v>140</v>
      </c>
      <c r="AA51" s="73">
        <v>102</v>
      </c>
      <c r="AB51" s="26">
        <v>0.72857142857142854</v>
      </c>
      <c r="AC51" s="34"/>
      <c r="AD51" s="97">
        <v>33</v>
      </c>
      <c r="AE51" s="97">
        <v>1395</v>
      </c>
      <c r="AF51" s="89">
        <v>3055172.4</v>
      </c>
      <c r="AG51" s="97">
        <v>112</v>
      </c>
      <c r="AH51" s="97">
        <v>71</v>
      </c>
      <c r="AI51" s="82">
        <f t="shared" si="2"/>
        <v>0.6339285714285714</v>
      </c>
      <c r="AJ51" s="155" t="str">
        <f t="shared" si="0"/>
        <v>OK</v>
      </c>
      <c r="AK51" t="s">
        <v>33</v>
      </c>
      <c r="AL51">
        <v>33</v>
      </c>
      <c r="AM51">
        <v>1395</v>
      </c>
      <c r="AN51" s="218">
        <v>3055172.4</v>
      </c>
      <c r="AO51">
        <v>112</v>
      </c>
      <c r="AP51">
        <v>71</v>
      </c>
      <c r="AQ51" s="217">
        <v>0.6339285714285714</v>
      </c>
    </row>
    <row r="52" spans="1:43" x14ac:dyDescent="0.35">
      <c r="A52" s="16"/>
      <c r="B52" s="16"/>
      <c r="C52" s="32"/>
      <c r="D52" s="16"/>
      <c r="E52" s="32"/>
      <c r="F52" s="32"/>
      <c r="G52" s="33"/>
      <c r="H52" s="16"/>
      <c r="I52" s="16"/>
      <c r="J52" s="32"/>
      <c r="K52" s="16"/>
      <c r="L52" s="32"/>
      <c r="M52" s="32"/>
      <c r="N52" s="33"/>
      <c r="O52" s="16"/>
      <c r="P52" s="16"/>
      <c r="Q52" s="32"/>
      <c r="R52" s="16"/>
      <c r="S52" s="32"/>
      <c r="T52" s="32"/>
      <c r="U52" s="33"/>
      <c r="V52" s="16"/>
      <c r="W52" s="16"/>
      <c r="X52" s="32"/>
      <c r="Y52" s="16"/>
      <c r="Z52" s="32"/>
      <c r="AA52" s="32"/>
      <c r="AB52" s="33"/>
      <c r="AC52" s="16"/>
      <c r="AD52" s="97"/>
      <c r="AE52" s="97"/>
      <c r="AF52" s="90"/>
      <c r="AG52" s="50"/>
      <c r="AH52" s="50"/>
      <c r="AI52" s="102"/>
    </row>
    <row r="53" spans="1:43" ht="15" thickBot="1" x14ac:dyDescent="0.4">
      <c r="A53" s="25" t="s">
        <v>113</v>
      </c>
      <c r="B53" s="28">
        <v>593</v>
      </c>
      <c r="C53" s="28">
        <v>36013</v>
      </c>
      <c r="D53" s="35">
        <v>547335922.30999982</v>
      </c>
      <c r="E53" s="28">
        <v>571</v>
      </c>
      <c r="F53" s="28">
        <v>411</v>
      </c>
      <c r="G53" s="27">
        <v>0.71978984238178634</v>
      </c>
      <c r="H53" s="301"/>
      <c r="I53" s="28">
        <v>355</v>
      </c>
      <c r="J53" s="28">
        <v>36034</v>
      </c>
      <c r="K53" s="35">
        <v>642474554.29999995</v>
      </c>
      <c r="L53" s="28">
        <v>1362</v>
      </c>
      <c r="M53" s="28">
        <v>683</v>
      </c>
      <c r="N53" s="27">
        <v>0.50146842878120412</v>
      </c>
      <c r="O53" s="301"/>
      <c r="P53" s="28">
        <v>344</v>
      </c>
      <c r="Q53" s="28">
        <v>34377</v>
      </c>
      <c r="R53" s="35">
        <v>614750472.97000015</v>
      </c>
      <c r="S53" s="28">
        <v>789</v>
      </c>
      <c r="T53" s="28">
        <v>486</v>
      </c>
      <c r="U53" s="27">
        <v>0.61596958174904948</v>
      </c>
      <c r="V53" s="301"/>
      <c r="W53" s="28">
        <v>322</v>
      </c>
      <c r="X53" s="28">
        <v>25922</v>
      </c>
      <c r="Y53" s="35">
        <v>588386957.34000003</v>
      </c>
      <c r="Z53" s="28">
        <v>846</v>
      </c>
      <c r="AA53" s="28">
        <v>524</v>
      </c>
      <c r="AB53" s="27">
        <v>0.61938534278959811</v>
      </c>
      <c r="AC53" s="301"/>
      <c r="AD53" s="96">
        <f t="shared" ref="AD53:AF53" si="3">SUM(AD6:AD51)</f>
        <v>244</v>
      </c>
      <c r="AE53" s="96">
        <f t="shared" si="3"/>
        <v>14924</v>
      </c>
      <c r="AF53" s="88">
        <f t="shared" si="3"/>
        <v>492750267.38000005</v>
      </c>
      <c r="AG53" s="96">
        <f>SUM(AG6:AG51)</f>
        <v>796</v>
      </c>
      <c r="AH53" s="96">
        <f>SUM(AH6:AH51)</f>
        <v>466</v>
      </c>
      <c r="AI53" s="103">
        <f>AH53/AG53</f>
        <v>0.585427135678392</v>
      </c>
      <c r="AK53" t="s">
        <v>113</v>
      </c>
      <c r="AL53">
        <v>244</v>
      </c>
      <c r="AM53">
        <v>14924</v>
      </c>
      <c r="AN53" s="218">
        <v>492750267.38000005</v>
      </c>
      <c r="AO53">
        <v>796</v>
      </c>
      <c r="AP53">
        <v>466</v>
      </c>
      <c r="AQ53" s="217">
        <v>0.585427135678392</v>
      </c>
    </row>
    <row r="54" spans="1:43" ht="15" thickTop="1" x14ac:dyDescent="0.35"/>
    <row r="70" spans="38:38" x14ac:dyDescent="0.35">
      <c r="AL70">
        <f>SUM(AL6:AL69)</f>
        <v>488</v>
      </c>
    </row>
  </sheetData>
  <sortState ref="A6:AI51">
    <sortCondition ref="A6"/>
  </sortState>
  <mergeCells count="10">
    <mergeCell ref="AG3:AI3"/>
    <mergeCell ref="B3:D3"/>
    <mergeCell ref="E3:G3"/>
    <mergeCell ref="I3:K3"/>
    <mergeCell ref="L3:N3"/>
    <mergeCell ref="P3:R3"/>
    <mergeCell ref="S3:U3"/>
    <mergeCell ref="AD3:AF3"/>
    <mergeCell ref="W3:Y3"/>
    <mergeCell ref="Z3:AB3"/>
  </mergeCells>
  <pageMargins left="0.7" right="0.7" top="0.75" bottom="0.75" header="0.3" footer="0.3"/>
  <customProperties>
    <customPr name="EpmWorksheetKeyString_GU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BL104"/>
  <sheetViews>
    <sheetView zoomScaleNormal="100" workbookViewId="0">
      <pane xSplit="1" ySplit="5" topLeftCell="BB15" activePane="bottomRight" state="frozen"/>
      <selection activeCell="D5" sqref="D5:E5"/>
      <selection pane="topRight" activeCell="D5" sqref="D5:E5"/>
      <selection pane="bottomLeft" activeCell="D5" sqref="D5:E5"/>
      <selection pane="bottomRight" activeCell="D5" sqref="D5:E5"/>
    </sheetView>
  </sheetViews>
  <sheetFormatPr defaultRowHeight="14.5" x14ac:dyDescent="0.35"/>
  <cols>
    <col min="1" max="1" width="49.26953125" bestFit="1" customWidth="1"/>
    <col min="5" max="5" width="9.1796875" customWidth="1"/>
    <col min="6" max="6" width="12.54296875" customWidth="1"/>
    <col min="7" max="7" width="9.1796875" customWidth="1"/>
    <col min="8" max="8" width="10.54296875" customWidth="1"/>
    <col min="9" max="11" width="9.1796875" customWidth="1"/>
    <col min="12" max="12" width="1.7265625" customWidth="1"/>
    <col min="16" max="16" width="10.54296875" customWidth="1"/>
    <col min="17" max="17" width="12.54296875" customWidth="1"/>
    <col min="18" max="18" width="9.1796875" customWidth="1"/>
    <col min="19" max="19" width="10.54296875" customWidth="1"/>
    <col min="20" max="22" width="9.1796875" customWidth="1"/>
    <col min="23" max="23" width="1.7265625" customWidth="1"/>
    <col min="27" max="27" width="10.54296875" customWidth="1"/>
    <col min="28" max="28" width="12.54296875" customWidth="1"/>
    <col min="29" max="29" width="9.1796875" customWidth="1"/>
    <col min="30" max="30" width="10.54296875" customWidth="1"/>
    <col min="31" max="33" width="9.1796875" customWidth="1"/>
    <col min="34" max="34" width="1.7265625" customWidth="1"/>
    <col min="38" max="38" width="10.54296875" customWidth="1"/>
    <col min="39" max="39" width="12.54296875" customWidth="1"/>
    <col min="40" max="40" width="9.1796875" customWidth="1"/>
    <col min="41" max="41" width="10.54296875" customWidth="1"/>
    <col min="42" max="44" width="9.1796875" customWidth="1"/>
    <col min="45" max="45" width="1.7265625" customWidth="1"/>
    <col min="49" max="49" width="9.1796875" customWidth="1"/>
    <col min="50" max="50" width="12.54296875" customWidth="1"/>
    <col min="51" max="51" width="9.1796875" customWidth="1"/>
    <col min="52" max="52" width="10.54296875" customWidth="1"/>
    <col min="53" max="55" width="9.1796875" customWidth="1"/>
    <col min="57" max="57" width="23.453125" customWidth="1"/>
    <col min="58" max="58" width="12" bestFit="1" customWidth="1"/>
    <col min="59" max="59" width="13.26953125" bestFit="1" customWidth="1"/>
    <col min="61" max="61" width="12.1796875" bestFit="1" customWidth="1"/>
    <col min="62" max="62" width="6" bestFit="1" customWidth="1"/>
    <col min="63" max="63" width="5.7265625" bestFit="1" customWidth="1"/>
    <col min="64" max="64" width="7.36328125" bestFit="1" customWidth="1"/>
  </cols>
  <sheetData>
    <row r="1" spans="1:64" x14ac:dyDescent="0.35">
      <c r="A1" s="29">
        <v>1</v>
      </c>
      <c r="B1" s="29">
        <v>2</v>
      </c>
      <c r="C1" s="29">
        <v>3</v>
      </c>
      <c r="D1" s="29">
        <v>4</v>
      </c>
      <c r="E1" s="29">
        <v>5</v>
      </c>
      <c r="F1" s="29">
        <v>6</v>
      </c>
      <c r="G1" s="29">
        <v>7</v>
      </c>
      <c r="H1" s="29">
        <v>8</v>
      </c>
      <c r="I1" s="29">
        <v>9</v>
      </c>
      <c r="J1" s="29">
        <v>10</v>
      </c>
      <c r="K1" s="29">
        <v>11</v>
      </c>
      <c r="L1" s="29">
        <v>12</v>
      </c>
      <c r="M1" s="29">
        <v>13</v>
      </c>
      <c r="N1" s="29">
        <v>14</v>
      </c>
      <c r="O1" s="29">
        <v>15</v>
      </c>
      <c r="P1" s="29">
        <v>16</v>
      </c>
      <c r="Q1" s="29">
        <v>17</v>
      </c>
      <c r="R1" s="29">
        <v>18</v>
      </c>
      <c r="S1" s="29">
        <v>19</v>
      </c>
      <c r="T1" s="29">
        <v>20</v>
      </c>
      <c r="U1" s="29">
        <v>21</v>
      </c>
      <c r="V1" s="29">
        <v>22</v>
      </c>
      <c r="W1" s="29">
        <v>23</v>
      </c>
      <c r="X1" s="29">
        <v>24</v>
      </c>
      <c r="Y1" s="29">
        <v>25</v>
      </c>
      <c r="Z1" s="29">
        <v>26</v>
      </c>
      <c r="AA1" s="29">
        <v>27</v>
      </c>
      <c r="AB1" s="29">
        <v>28</v>
      </c>
      <c r="AC1" s="29">
        <v>29</v>
      </c>
      <c r="AD1" s="29">
        <v>30</v>
      </c>
      <c r="AE1" s="29">
        <v>31</v>
      </c>
      <c r="AF1" s="29">
        <v>32</v>
      </c>
      <c r="AG1" s="29">
        <v>33</v>
      </c>
      <c r="AH1" s="29">
        <v>34</v>
      </c>
      <c r="AI1" s="29">
        <v>35</v>
      </c>
      <c r="AJ1" s="29">
        <v>36</v>
      </c>
      <c r="AK1" s="29">
        <v>37</v>
      </c>
      <c r="AL1" s="29">
        <v>38</v>
      </c>
      <c r="AM1" s="29">
        <v>39</v>
      </c>
      <c r="AN1" s="29">
        <v>40</v>
      </c>
      <c r="AO1" s="29">
        <v>41</v>
      </c>
      <c r="AP1" s="29">
        <v>42</v>
      </c>
      <c r="AQ1" s="29">
        <v>43</v>
      </c>
      <c r="AR1" s="29">
        <v>44</v>
      </c>
      <c r="AS1" s="29">
        <v>45</v>
      </c>
      <c r="AT1" s="29">
        <v>46</v>
      </c>
      <c r="AU1" s="29">
        <v>47</v>
      </c>
      <c r="AV1" s="29">
        <v>48</v>
      </c>
      <c r="AW1" s="29">
        <v>49</v>
      </c>
      <c r="AX1" s="29">
        <v>50</v>
      </c>
      <c r="AY1" s="29">
        <v>51</v>
      </c>
      <c r="AZ1" s="29">
        <v>52</v>
      </c>
      <c r="BA1" s="29">
        <v>53</v>
      </c>
      <c r="BB1" s="29">
        <v>54</v>
      </c>
      <c r="BC1" s="29">
        <v>55</v>
      </c>
    </row>
    <row r="2" spans="1:64" x14ac:dyDescent="0.35">
      <c r="B2" s="70"/>
      <c r="C2" s="70"/>
      <c r="D2" s="70"/>
      <c r="E2" s="70"/>
      <c r="F2" s="70"/>
      <c r="G2" s="70"/>
      <c r="H2" s="70"/>
      <c r="I2" s="70"/>
      <c r="J2" s="70"/>
      <c r="K2" s="70"/>
      <c r="L2" s="37"/>
      <c r="M2" s="70"/>
      <c r="N2" s="70"/>
      <c r="O2" s="70"/>
      <c r="P2" s="70"/>
      <c r="Q2" s="70"/>
      <c r="R2" s="70"/>
      <c r="S2" s="70"/>
      <c r="T2" s="70"/>
      <c r="U2" s="70"/>
      <c r="V2" s="70"/>
      <c r="W2" s="37"/>
      <c r="X2" s="70"/>
      <c r="Y2" s="70"/>
      <c r="Z2" s="70"/>
      <c r="AA2" s="70"/>
      <c r="AB2" s="70"/>
      <c r="AC2" s="70"/>
      <c r="AD2" s="70"/>
      <c r="AE2" s="70"/>
      <c r="AF2" s="70"/>
      <c r="AG2" s="70"/>
      <c r="AH2" s="37"/>
      <c r="AI2" s="70"/>
      <c r="AJ2" s="70"/>
      <c r="AK2" s="70"/>
      <c r="AL2" s="70"/>
      <c r="AM2" s="70"/>
      <c r="AN2" s="70"/>
      <c r="AO2" s="70"/>
      <c r="AP2" s="70"/>
      <c r="AQ2" s="70"/>
      <c r="AR2" s="70"/>
      <c r="AS2" s="37"/>
      <c r="AT2" s="70"/>
      <c r="AU2" s="70"/>
      <c r="AV2" s="70"/>
      <c r="AW2" s="70"/>
      <c r="AX2" s="70"/>
      <c r="AY2" s="70"/>
      <c r="AZ2" s="70"/>
      <c r="BA2" s="70"/>
      <c r="BB2" s="70"/>
      <c r="BC2" s="70"/>
    </row>
    <row r="3" spans="1:64" x14ac:dyDescent="0.35">
      <c r="B3" s="425" t="s">
        <v>133</v>
      </c>
      <c r="C3" s="425"/>
      <c r="D3" s="425"/>
      <c r="E3" s="424" t="s">
        <v>135</v>
      </c>
      <c r="F3" s="424"/>
      <c r="G3" s="424"/>
      <c r="H3" s="424"/>
      <c r="I3" s="426" t="s">
        <v>157</v>
      </c>
      <c r="J3" s="426"/>
      <c r="K3" s="426"/>
      <c r="L3" s="71"/>
      <c r="M3" s="425" t="s">
        <v>133</v>
      </c>
      <c r="N3" s="425"/>
      <c r="O3" s="425"/>
      <c r="P3" s="424" t="s">
        <v>135</v>
      </c>
      <c r="Q3" s="424"/>
      <c r="R3" s="424"/>
      <c r="S3" s="424"/>
      <c r="T3" s="426" t="s">
        <v>157</v>
      </c>
      <c r="U3" s="426"/>
      <c r="V3" s="426"/>
      <c r="W3" s="71"/>
      <c r="X3" s="425" t="s">
        <v>133</v>
      </c>
      <c r="Y3" s="425"/>
      <c r="Z3" s="425"/>
      <c r="AA3" s="424" t="s">
        <v>135</v>
      </c>
      <c r="AB3" s="424"/>
      <c r="AC3" s="424"/>
      <c r="AD3" s="424"/>
      <c r="AE3" s="426" t="s">
        <v>157</v>
      </c>
      <c r="AF3" s="426"/>
      <c r="AG3" s="426"/>
      <c r="AH3" s="71"/>
      <c r="AI3" s="425" t="s">
        <v>133</v>
      </c>
      <c r="AJ3" s="425"/>
      <c r="AK3" s="425"/>
      <c r="AL3" s="424" t="s">
        <v>135</v>
      </c>
      <c r="AM3" s="424"/>
      <c r="AN3" s="424"/>
      <c r="AO3" s="424"/>
      <c r="AP3" s="426" t="s">
        <v>157</v>
      </c>
      <c r="AQ3" s="426"/>
      <c r="AR3" s="426"/>
      <c r="AS3" s="71"/>
      <c r="AT3" s="425" t="s">
        <v>133</v>
      </c>
      <c r="AU3" s="425"/>
      <c r="AV3" s="425"/>
      <c r="AW3" s="424" t="s">
        <v>135</v>
      </c>
      <c r="AX3" s="424"/>
      <c r="AY3" s="424"/>
      <c r="AZ3" s="424"/>
      <c r="BA3" s="426" t="s">
        <v>157</v>
      </c>
      <c r="BB3" s="426"/>
      <c r="BC3" s="426"/>
    </row>
    <row r="4" spans="1:64" x14ac:dyDescent="0.35">
      <c r="B4" s="42">
        <v>2017</v>
      </c>
      <c r="C4" s="42">
        <v>2017</v>
      </c>
      <c r="D4" s="42">
        <v>2017</v>
      </c>
      <c r="E4" s="42">
        <v>2017</v>
      </c>
      <c r="F4" s="42">
        <v>2017</v>
      </c>
      <c r="G4" s="42">
        <v>2017</v>
      </c>
      <c r="H4" s="42">
        <v>2017</v>
      </c>
      <c r="I4" s="42">
        <v>2017</v>
      </c>
      <c r="J4" s="42">
        <v>2017</v>
      </c>
      <c r="K4" s="42">
        <v>2017</v>
      </c>
      <c r="L4" s="42"/>
      <c r="M4" s="42">
        <v>2018</v>
      </c>
      <c r="N4" s="42">
        <v>2018</v>
      </c>
      <c r="O4" s="42">
        <v>2018</v>
      </c>
      <c r="P4" s="42">
        <v>2018</v>
      </c>
      <c r="Q4" s="42">
        <v>2018</v>
      </c>
      <c r="R4" s="42">
        <v>2018</v>
      </c>
      <c r="S4" s="42">
        <v>2018</v>
      </c>
      <c r="T4" s="42">
        <v>2018</v>
      </c>
      <c r="U4" s="42">
        <v>2018</v>
      </c>
      <c r="V4" s="42">
        <v>2018</v>
      </c>
      <c r="W4" s="42"/>
      <c r="X4" s="42">
        <v>2019</v>
      </c>
      <c r="Y4" s="42">
        <v>2019</v>
      </c>
      <c r="Z4" s="42">
        <v>2019</v>
      </c>
      <c r="AA4" s="42">
        <v>2019</v>
      </c>
      <c r="AB4" s="42">
        <v>2019</v>
      </c>
      <c r="AC4" s="42">
        <v>2019</v>
      </c>
      <c r="AD4" s="42">
        <v>2019</v>
      </c>
      <c r="AE4" s="42">
        <v>2019</v>
      </c>
      <c r="AF4" s="42">
        <v>2019</v>
      </c>
      <c r="AG4" s="42">
        <v>2019</v>
      </c>
      <c r="AH4" s="42"/>
      <c r="AI4" s="42">
        <v>2020</v>
      </c>
      <c r="AJ4" s="42">
        <v>2020</v>
      </c>
      <c r="AK4" s="42">
        <v>2020</v>
      </c>
      <c r="AL4" s="42">
        <v>2020</v>
      </c>
      <c r="AM4" s="42">
        <v>2020</v>
      </c>
      <c r="AN4" s="42">
        <v>2020</v>
      </c>
      <c r="AO4" s="42">
        <v>2020</v>
      </c>
      <c r="AP4" s="42">
        <v>2020</v>
      </c>
      <c r="AQ4" s="42">
        <v>2020</v>
      </c>
      <c r="AR4" s="42">
        <v>2020</v>
      </c>
      <c r="AS4" s="42"/>
      <c r="AT4" s="42">
        <v>2021</v>
      </c>
      <c r="AU4" s="42">
        <v>2021</v>
      </c>
      <c r="AV4" s="42">
        <v>2021</v>
      </c>
      <c r="AW4" s="42">
        <v>2021</v>
      </c>
      <c r="AX4" s="42">
        <v>2021</v>
      </c>
      <c r="AY4" s="42">
        <v>2021</v>
      </c>
      <c r="AZ4" s="42">
        <v>2021</v>
      </c>
      <c r="BA4" s="42">
        <v>2021</v>
      </c>
      <c r="BB4" s="42">
        <v>2021</v>
      </c>
      <c r="BC4" s="42">
        <v>2021</v>
      </c>
    </row>
    <row r="5" spans="1:64" ht="43.5" x14ac:dyDescent="0.35">
      <c r="A5" s="39" t="s">
        <v>36</v>
      </c>
      <c r="B5" s="40" t="s">
        <v>131</v>
      </c>
      <c r="C5" s="40" t="s">
        <v>134</v>
      </c>
      <c r="D5" s="40" t="s">
        <v>132</v>
      </c>
      <c r="E5" s="41" t="s">
        <v>181</v>
      </c>
      <c r="F5" s="41" t="s">
        <v>136</v>
      </c>
      <c r="G5" s="41" t="s">
        <v>137</v>
      </c>
      <c r="H5" s="41" t="s">
        <v>138</v>
      </c>
      <c r="I5" s="40" t="s">
        <v>158</v>
      </c>
      <c r="J5" s="40" t="s">
        <v>159</v>
      </c>
      <c r="K5" s="40" t="s">
        <v>160</v>
      </c>
      <c r="L5" s="40"/>
      <c r="M5" s="40" t="s">
        <v>131</v>
      </c>
      <c r="N5" s="40" t="s">
        <v>134</v>
      </c>
      <c r="O5" s="40" t="s">
        <v>132</v>
      </c>
      <c r="P5" s="41" t="s">
        <v>181</v>
      </c>
      <c r="Q5" s="41" t="s">
        <v>136</v>
      </c>
      <c r="R5" s="41" t="s">
        <v>137</v>
      </c>
      <c r="S5" s="41" t="s">
        <v>138</v>
      </c>
      <c r="T5" s="40" t="s">
        <v>158</v>
      </c>
      <c r="U5" s="40" t="s">
        <v>159</v>
      </c>
      <c r="V5" s="40" t="s">
        <v>160</v>
      </c>
      <c r="W5" s="40"/>
      <c r="X5" s="40" t="s">
        <v>131</v>
      </c>
      <c r="Y5" s="40" t="s">
        <v>134</v>
      </c>
      <c r="Z5" s="40" t="s">
        <v>132</v>
      </c>
      <c r="AA5" s="41" t="s">
        <v>181</v>
      </c>
      <c r="AB5" s="41" t="s">
        <v>136</v>
      </c>
      <c r="AC5" s="41" t="s">
        <v>137</v>
      </c>
      <c r="AD5" s="41" t="s">
        <v>138</v>
      </c>
      <c r="AE5" s="40" t="s">
        <v>158</v>
      </c>
      <c r="AF5" s="40" t="s">
        <v>159</v>
      </c>
      <c r="AG5" s="40" t="s">
        <v>160</v>
      </c>
      <c r="AH5" s="40"/>
      <c r="AI5" s="40" t="s">
        <v>131</v>
      </c>
      <c r="AJ5" s="40" t="s">
        <v>134</v>
      </c>
      <c r="AK5" s="40" t="s">
        <v>132</v>
      </c>
      <c r="AL5" s="41" t="s">
        <v>181</v>
      </c>
      <c r="AM5" s="41" t="s">
        <v>136</v>
      </c>
      <c r="AN5" s="41" t="s">
        <v>137</v>
      </c>
      <c r="AO5" s="41" t="s">
        <v>138</v>
      </c>
      <c r="AP5" s="40" t="s">
        <v>158</v>
      </c>
      <c r="AQ5" s="40" t="s">
        <v>159</v>
      </c>
      <c r="AR5" s="40" t="s">
        <v>160</v>
      </c>
      <c r="AS5" s="40"/>
      <c r="AT5" s="40" t="s">
        <v>131</v>
      </c>
      <c r="AU5" s="40" t="s">
        <v>134</v>
      </c>
      <c r="AV5" s="40" t="s">
        <v>132</v>
      </c>
      <c r="AW5" s="41" t="s">
        <v>181</v>
      </c>
      <c r="AX5" s="41" t="s">
        <v>136</v>
      </c>
      <c r="AY5" s="41" t="s">
        <v>137</v>
      </c>
      <c r="AZ5" s="41" t="s">
        <v>138</v>
      </c>
      <c r="BA5" s="40" t="s">
        <v>158</v>
      </c>
      <c r="BB5" s="40" t="s">
        <v>159</v>
      </c>
      <c r="BC5" s="40" t="s">
        <v>160</v>
      </c>
      <c r="BE5" s="39" t="s">
        <v>36</v>
      </c>
      <c r="BF5" s="104" t="s">
        <v>181</v>
      </c>
      <c r="BG5" s="104" t="s">
        <v>327</v>
      </c>
      <c r="BH5" s="104" t="s">
        <v>137</v>
      </c>
      <c r="BI5" s="104" t="s">
        <v>138</v>
      </c>
      <c r="BJ5" s="104" t="s">
        <v>158</v>
      </c>
      <c r="BK5" s="104" t="s">
        <v>159</v>
      </c>
      <c r="BL5" s="104" t="s">
        <v>160</v>
      </c>
    </row>
    <row r="6" spans="1:64" x14ac:dyDescent="0.35">
      <c r="A6" s="16" t="s">
        <v>345</v>
      </c>
      <c r="B6" s="73">
        <v>3</v>
      </c>
      <c r="C6" s="73">
        <v>3</v>
      </c>
      <c r="D6" s="26">
        <v>1</v>
      </c>
      <c r="E6" s="99">
        <v>67980</v>
      </c>
      <c r="F6" s="34">
        <v>705127.44000000006</v>
      </c>
      <c r="G6" s="99">
        <v>215</v>
      </c>
      <c r="H6" s="34">
        <v>6529.94</v>
      </c>
      <c r="I6" s="32">
        <v>12</v>
      </c>
      <c r="J6" s="32">
        <v>5</v>
      </c>
      <c r="K6" s="26">
        <v>0.41666666666666669</v>
      </c>
      <c r="L6" s="26"/>
      <c r="M6" s="73">
        <v>3</v>
      </c>
      <c r="N6" s="73">
        <v>3</v>
      </c>
      <c r="O6" s="26">
        <v>1</v>
      </c>
      <c r="P6" s="34">
        <v>65082</v>
      </c>
      <c r="Q6" s="34">
        <v>761368.48</v>
      </c>
      <c r="R6" s="99">
        <v>259</v>
      </c>
      <c r="S6" s="34">
        <v>6690.92</v>
      </c>
      <c r="T6" s="32">
        <v>11</v>
      </c>
      <c r="U6" s="32">
        <v>8</v>
      </c>
      <c r="V6" s="26">
        <v>0.72727272727272729</v>
      </c>
      <c r="W6" s="26"/>
      <c r="X6" s="73">
        <v>3</v>
      </c>
      <c r="Y6" s="73">
        <v>3</v>
      </c>
      <c r="Z6" s="26">
        <v>1</v>
      </c>
      <c r="AA6" s="34">
        <v>60309</v>
      </c>
      <c r="AB6" s="34">
        <v>645234.98</v>
      </c>
      <c r="AC6" s="99">
        <v>263</v>
      </c>
      <c r="AD6" s="34">
        <v>4997.46</v>
      </c>
      <c r="AE6" s="32">
        <v>12</v>
      </c>
      <c r="AF6" s="32">
        <v>8</v>
      </c>
      <c r="AG6" s="26">
        <v>0.66666666666666663</v>
      </c>
      <c r="AH6" s="26"/>
      <c r="AI6" s="73">
        <v>4</v>
      </c>
      <c r="AJ6" s="73">
        <v>4</v>
      </c>
      <c r="AK6" s="26">
        <v>1</v>
      </c>
      <c r="AL6" s="34">
        <v>38448</v>
      </c>
      <c r="AM6" s="34">
        <v>331740.13</v>
      </c>
      <c r="AN6" s="99">
        <v>129</v>
      </c>
      <c r="AO6" s="34">
        <v>2908</v>
      </c>
      <c r="AP6" s="32">
        <v>7</v>
      </c>
      <c r="AQ6" s="32">
        <v>5</v>
      </c>
      <c r="AR6" s="26">
        <v>0.7142857142857143</v>
      </c>
      <c r="AS6" s="26"/>
      <c r="AT6" s="97">
        <v>3</v>
      </c>
      <c r="AU6" s="97">
        <v>2</v>
      </c>
      <c r="AV6" s="82">
        <f>AU6/AT6</f>
        <v>0.66666666666666663</v>
      </c>
      <c r="AW6" s="98">
        <v>1644</v>
      </c>
      <c r="AX6" s="89">
        <v>21054.559999999998</v>
      </c>
      <c r="AY6" s="98">
        <v>4</v>
      </c>
      <c r="AZ6" s="89">
        <v>120.5</v>
      </c>
      <c r="BA6" s="97">
        <v>5</v>
      </c>
      <c r="BB6" s="97">
        <v>4</v>
      </c>
      <c r="BC6" s="82">
        <f>BB6/BA6</f>
        <v>0.8</v>
      </c>
      <c r="BD6" s="155" t="str">
        <f t="shared" ref="BD6:BD51" si="0">IF(BE6=A6,"OK","No")</f>
        <v>OK</v>
      </c>
      <c r="BE6" s="16" t="s">
        <v>345</v>
      </c>
      <c r="BF6" s="330">
        <v>1644</v>
      </c>
      <c r="BG6" s="331">
        <v>21054.559999999998</v>
      </c>
      <c r="BH6" s="330">
        <v>4</v>
      </c>
      <c r="BI6" s="331">
        <v>120.5</v>
      </c>
      <c r="BJ6" s="330">
        <v>5</v>
      </c>
      <c r="BK6" s="330">
        <v>4</v>
      </c>
      <c r="BL6" s="217">
        <v>0.8</v>
      </c>
    </row>
    <row r="7" spans="1:64" x14ac:dyDescent="0.35">
      <c r="A7" s="16" t="s">
        <v>21</v>
      </c>
      <c r="B7" s="73">
        <v>13</v>
      </c>
      <c r="C7" s="73">
        <v>6</v>
      </c>
      <c r="D7" s="26">
        <v>0.46153846153846156</v>
      </c>
      <c r="E7" s="99">
        <v>138577</v>
      </c>
      <c r="F7" s="34">
        <v>52399583.050000004</v>
      </c>
      <c r="G7" s="99">
        <v>1740</v>
      </c>
      <c r="H7" s="34">
        <v>488906.89999999997</v>
      </c>
      <c r="I7" s="32">
        <v>48</v>
      </c>
      <c r="J7" s="32">
        <v>32</v>
      </c>
      <c r="K7" s="26">
        <v>0.66666666666666663</v>
      </c>
      <c r="L7" s="26"/>
      <c r="M7" s="73">
        <v>12</v>
      </c>
      <c r="N7" s="73">
        <v>9</v>
      </c>
      <c r="O7" s="26">
        <v>0.75</v>
      </c>
      <c r="P7" s="34">
        <v>150172</v>
      </c>
      <c r="Q7" s="34">
        <v>61315806.43</v>
      </c>
      <c r="R7" s="99">
        <v>2692</v>
      </c>
      <c r="S7" s="34">
        <v>596584.03</v>
      </c>
      <c r="T7" s="32">
        <v>78</v>
      </c>
      <c r="U7" s="32">
        <v>59</v>
      </c>
      <c r="V7" s="26">
        <v>0.75641025641025639</v>
      </c>
      <c r="W7" s="26"/>
      <c r="X7" s="73">
        <v>13</v>
      </c>
      <c r="Y7" s="73">
        <v>11</v>
      </c>
      <c r="Z7" s="26">
        <v>0.84615384615384615</v>
      </c>
      <c r="AA7" s="34">
        <v>144840</v>
      </c>
      <c r="AB7" s="34">
        <v>57989558.890000008</v>
      </c>
      <c r="AC7" s="99">
        <v>2849</v>
      </c>
      <c r="AD7" s="34">
        <v>566170.49</v>
      </c>
      <c r="AE7" s="32">
        <v>63</v>
      </c>
      <c r="AF7" s="32">
        <v>41</v>
      </c>
      <c r="AG7" s="26">
        <v>0.65079365079365081</v>
      </c>
      <c r="AH7" s="26"/>
      <c r="AI7" s="73">
        <v>12</v>
      </c>
      <c r="AJ7" s="73">
        <v>8</v>
      </c>
      <c r="AK7" s="26">
        <v>0.66666666666666663</v>
      </c>
      <c r="AL7" s="34">
        <v>131991</v>
      </c>
      <c r="AM7" s="34">
        <v>55698851.589999996</v>
      </c>
      <c r="AN7" s="99">
        <v>6211</v>
      </c>
      <c r="AO7" s="34">
        <v>1198157.3</v>
      </c>
      <c r="AP7" s="32">
        <v>39</v>
      </c>
      <c r="AQ7" s="32">
        <v>28</v>
      </c>
      <c r="AR7" s="26">
        <v>0.71794871794871795</v>
      </c>
      <c r="AS7" s="26"/>
      <c r="AT7" s="97">
        <v>13</v>
      </c>
      <c r="AU7" s="97">
        <v>12</v>
      </c>
      <c r="AV7" s="82">
        <f>AU7/AT7</f>
        <v>0.92307692307692313</v>
      </c>
      <c r="AW7" s="98">
        <v>119410</v>
      </c>
      <c r="AX7" s="89">
        <v>39999905.609999999</v>
      </c>
      <c r="AY7" s="98">
        <v>29797</v>
      </c>
      <c r="AZ7" s="89">
        <v>9881070.0700000003</v>
      </c>
      <c r="BA7" s="97">
        <v>34</v>
      </c>
      <c r="BB7" s="97">
        <v>28</v>
      </c>
      <c r="BC7" s="82">
        <f>BB7/BA7</f>
        <v>0.82352941176470584</v>
      </c>
      <c r="BD7" s="155" t="str">
        <f t="shared" si="0"/>
        <v>OK</v>
      </c>
      <c r="BE7" s="16" t="s">
        <v>21</v>
      </c>
      <c r="BF7" s="330">
        <v>119410</v>
      </c>
      <c r="BG7" s="332">
        <v>39999905.609999999</v>
      </c>
      <c r="BH7" s="330">
        <v>29797</v>
      </c>
      <c r="BI7" s="332">
        <v>9881070.0700000003</v>
      </c>
      <c r="BJ7" s="330">
        <v>34</v>
      </c>
      <c r="BK7" s="330">
        <v>28</v>
      </c>
      <c r="BL7" s="217">
        <v>0.82352941176470584</v>
      </c>
    </row>
    <row r="8" spans="1:64" x14ac:dyDescent="0.35">
      <c r="A8" s="16" t="s">
        <v>357</v>
      </c>
      <c r="B8" s="73"/>
      <c r="C8" s="73"/>
      <c r="D8" s="26"/>
      <c r="E8" s="99"/>
      <c r="F8" s="34"/>
      <c r="G8" s="99"/>
      <c r="H8" s="34"/>
      <c r="I8" s="32"/>
      <c r="J8" s="32"/>
      <c r="K8" s="26"/>
      <c r="L8" s="26"/>
      <c r="M8" s="73"/>
      <c r="N8" s="73"/>
      <c r="O8" s="26"/>
      <c r="P8" s="34"/>
      <c r="Q8" s="34"/>
      <c r="R8" s="99"/>
      <c r="S8" s="34"/>
      <c r="T8" s="32"/>
      <c r="U8" s="32"/>
      <c r="V8" s="26"/>
      <c r="W8" s="26"/>
      <c r="X8" s="73" t="s">
        <v>302</v>
      </c>
      <c r="Y8" s="73" t="s">
        <v>302</v>
      </c>
      <c r="Z8" s="26"/>
      <c r="AA8" s="34"/>
      <c r="AB8" s="34"/>
      <c r="AC8" s="99"/>
      <c r="AD8" s="34"/>
      <c r="AE8" s="32"/>
      <c r="AF8" s="32"/>
      <c r="AG8" s="26"/>
      <c r="AH8" s="26"/>
      <c r="AI8" s="73" t="s">
        <v>302</v>
      </c>
      <c r="AJ8" s="73" t="s">
        <v>302</v>
      </c>
      <c r="AK8" s="26"/>
      <c r="AL8" s="34"/>
      <c r="AM8" s="34"/>
      <c r="AN8" s="99"/>
      <c r="AO8" s="34"/>
      <c r="AP8" s="32"/>
      <c r="AQ8" s="32"/>
      <c r="AR8" s="26"/>
      <c r="AS8" s="26"/>
      <c r="AT8" s="97" t="s">
        <v>302</v>
      </c>
      <c r="AU8" s="97" t="s">
        <v>302</v>
      </c>
      <c r="AV8" s="82"/>
      <c r="AW8" s="98"/>
      <c r="AX8" s="89"/>
      <c r="AY8" s="98"/>
      <c r="AZ8" s="89"/>
      <c r="BA8" s="97"/>
      <c r="BB8" s="97"/>
      <c r="BC8" s="82"/>
      <c r="BD8" s="155" t="str">
        <f t="shared" si="0"/>
        <v>OK</v>
      </c>
      <c r="BE8" s="16" t="s">
        <v>357</v>
      </c>
      <c r="BF8" s="330"/>
      <c r="BG8" s="332"/>
      <c r="BH8" s="330"/>
      <c r="BI8" s="332"/>
      <c r="BJ8" s="330"/>
      <c r="BK8" s="330"/>
      <c r="BL8" s="217"/>
    </row>
    <row r="9" spans="1:64" x14ac:dyDescent="0.35">
      <c r="A9" s="16" t="s">
        <v>0</v>
      </c>
      <c r="B9" s="73">
        <v>9</v>
      </c>
      <c r="C9" s="73">
        <v>8</v>
      </c>
      <c r="D9" s="26">
        <v>0.88888888888888884</v>
      </c>
      <c r="E9" s="99">
        <v>1498</v>
      </c>
      <c r="F9" s="34">
        <v>2344609.58</v>
      </c>
      <c r="G9" s="99">
        <v>73</v>
      </c>
      <c r="H9" s="34">
        <v>94469.17</v>
      </c>
      <c r="I9" s="32">
        <v>13</v>
      </c>
      <c r="J9" s="32">
        <v>7</v>
      </c>
      <c r="K9" s="26">
        <v>0.53846153846153844</v>
      </c>
      <c r="L9" s="26"/>
      <c r="M9" s="73">
        <v>9</v>
      </c>
      <c r="N9" s="73">
        <v>9</v>
      </c>
      <c r="O9" s="26">
        <v>1</v>
      </c>
      <c r="P9" s="34">
        <v>1643</v>
      </c>
      <c r="Q9" s="34">
        <v>2658496.75</v>
      </c>
      <c r="R9" s="99">
        <v>137</v>
      </c>
      <c r="S9" s="34">
        <v>132881.45000000001</v>
      </c>
      <c r="T9" s="32">
        <v>14</v>
      </c>
      <c r="U9" s="32">
        <v>9</v>
      </c>
      <c r="V9" s="26">
        <v>0.6428571428571429</v>
      </c>
      <c r="W9" s="26"/>
      <c r="X9" s="73">
        <v>11</v>
      </c>
      <c r="Y9" s="73">
        <v>8</v>
      </c>
      <c r="Z9" s="26">
        <v>0.72727272727272729</v>
      </c>
      <c r="AA9" s="34">
        <v>1915</v>
      </c>
      <c r="AB9" s="34">
        <v>2602427.7199999997</v>
      </c>
      <c r="AC9" s="99">
        <v>163</v>
      </c>
      <c r="AD9" s="34">
        <v>140343.5</v>
      </c>
      <c r="AE9" s="32">
        <v>16</v>
      </c>
      <c r="AF9" s="32">
        <v>13</v>
      </c>
      <c r="AG9" s="26">
        <v>0.8125</v>
      </c>
      <c r="AH9" s="26"/>
      <c r="AI9" s="73">
        <v>10</v>
      </c>
      <c r="AJ9" s="73">
        <v>8</v>
      </c>
      <c r="AK9" s="26">
        <v>0.8</v>
      </c>
      <c r="AL9" s="34">
        <v>1940</v>
      </c>
      <c r="AM9" s="34">
        <v>1990501.6099999999</v>
      </c>
      <c r="AN9" s="99">
        <v>322</v>
      </c>
      <c r="AO9" s="34">
        <v>194516.8</v>
      </c>
      <c r="AP9" s="32">
        <v>13</v>
      </c>
      <c r="AQ9" s="32">
        <v>11</v>
      </c>
      <c r="AR9" s="26">
        <v>0.84615384615384615</v>
      </c>
      <c r="AS9" s="26"/>
      <c r="AT9" s="97">
        <v>11</v>
      </c>
      <c r="AU9" s="97">
        <v>8</v>
      </c>
      <c r="AV9" s="82">
        <f t="shared" ref="AV9:AV16" si="1">AU9/AT9</f>
        <v>0.72727272727272729</v>
      </c>
      <c r="AW9" s="98">
        <v>2340</v>
      </c>
      <c r="AX9" s="89">
        <v>1346380.75</v>
      </c>
      <c r="AY9" s="98">
        <v>155</v>
      </c>
      <c r="AZ9" s="89">
        <v>161775.5</v>
      </c>
      <c r="BA9" s="97">
        <v>14</v>
      </c>
      <c r="BB9" s="97">
        <v>13</v>
      </c>
      <c r="BC9" s="82">
        <f t="shared" ref="BC9:BC16" si="2">BB9/BA9</f>
        <v>0.9285714285714286</v>
      </c>
      <c r="BD9" s="155" t="str">
        <f t="shared" si="0"/>
        <v>OK</v>
      </c>
      <c r="BE9" s="16" t="s">
        <v>0</v>
      </c>
      <c r="BF9" s="330">
        <v>2340</v>
      </c>
      <c r="BG9" s="332">
        <v>1346380.75</v>
      </c>
      <c r="BH9" s="330">
        <v>155</v>
      </c>
      <c r="BI9" s="332">
        <v>161775.5</v>
      </c>
      <c r="BJ9" s="330">
        <v>14</v>
      </c>
      <c r="BK9" s="330">
        <v>13</v>
      </c>
      <c r="BL9" s="217">
        <v>0.9285714285714286</v>
      </c>
    </row>
    <row r="10" spans="1:64" x14ac:dyDescent="0.35">
      <c r="A10" s="16" t="s">
        <v>1</v>
      </c>
      <c r="B10" s="73">
        <v>25</v>
      </c>
      <c r="C10" s="73">
        <v>24</v>
      </c>
      <c r="D10" s="26">
        <v>0.96</v>
      </c>
      <c r="E10" s="99">
        <v>10038</v>
      </c>
      <c r="F10" s="34">
        <v>2309729.0499999998</v>
      </c>
      <c r="G10" s="99">
        <v>90</v>
      </c>
      <c r="H10" s="34">
        <v>18294.059999999998</v>
      </c>
      <c r="I10" s="32">
        <v>62</v>
      </c>
      <c r="J10" s="32">
        <v>29</v>
      </c>
      <c r="K10" s="26">
        <v>0.46774193548387094</v>
      </c>
      <c r="L10" s="26"/>
      <c r="M10" s="73">
        <v>26</v>
      </c>
      <c r="N10" s="73">
        <v>23</v>
      </c>
      <c r="O10" s="26">
        <v>0.88461538461538458</v>
      </c>
      <c r="P10" s="34">
        <v>7362</v>
      </c>
      <c r="Q10" s="34">
        <v>2098341.7599999998</v>
      </c>
      <c r="R10" s="99">
        <v>104</v>
      </c>
      <c r="S10" s="34">
        <v>26536.71</v>
      </c>
      <c r="T10" s="32">
        <v>50</v>
      </c>
      <c r="U10" s="32">
        <v>27</v>
      </c>
      <c r="V10" s="26">
        <v>0.54</v>
      </c>
      <c r="W10" s="26"/>
      <c r="X10" s="73">
        <v>26</v>
      </c>
      <c r="Y10" s="73">
        <v>22</v>
      </c>
      <c r="Z10" s="26">
        <v>0.84615384615384615</v>
      </c>
      <c r="AA10" s="34">
        <v>9646</v>
      </c>
      <c r="AB10" s="34">
        <v>2112395.6100000003</v>
      </c>
      <c r="AC10" s="99">
        <v>155</v>
      </c>
      <c r="AD10" s="34">
        <v>41336.320000000007</v>
      </c>
      <c r="AE10" s="32">
        <v>57</v>
      </c>
      <c r="AF10" s="32">
        <v>39</v>
      </c>
      <c r="AG10" s="26">
        <v>0.68421052631578949</v>
      </c>
      <c r="AH10" s="26"/>
      <c r="AI10" s="73">
        <v>25</v>
      </c>
      <c r="AJ10" s="73">
        <v>19</v>
      </c>
      <c r="AK10" s="26">
        <v>0.76</v>
      </c>
      <c r="AL10" s="34">
        <v>13344</v>
      </c>
      <c r="AM10" s="34">
        <v>1819381.6</v>
      </c>
      <c r="AN10" s="99">
        <v>1234</v>
      </c>
      <c r="AO10" s="34">
        <v>617837.54999999993</v>
      </c>
      <c r="AP10" s="32">
        <v>64</v>
      </c>
      <c r="AQ10" s="32">
        <v>53</v>
      </c>
      <c r="AR10" s="26">
        <v>0.828125</v>
      </c>
      <c r="AS10" s="26"/>
      <c r="AT10" s="97">
        <v>25</v>
      </c>
      <c r="AU10" s="97">
        <v>21</v>
      </c>
      <c r="AV10" s="82">
        <f t="shared" si="1"/>
        <v>0.84</v>
      </c>
      <c r="AW10" s="98">
        <v>3052</v>
      </c>
      <c r="AX10" s="89">
        <v>1158489.3999999999</v>
      </c>
      <c r="AY10" s="98">
        <v>67</v>
      </c>
      <c r="AZ10" s="89">
        <v>15390.25</v>
      </c>
      <c r="BA10" s="97">
        <v>43</v>
      </c>
      <c r="BB10" s="97">
        <v>35</v>
      </c>
      <c r="BC10" s="82">
        <f t="shared" si="2"/>
        <v>0.81395348837209303</v>
      </c>
      <c r="BD10" s="155" t="str">
        <f t="shared" si="0"/>
        <v>OK</v>
      </c>
      <c r="BE10" s="16" t="s">
        <v>1</v>
      </c>
      <c r="BF10" s="330">
        <v>3052</v>
      </c>
      <c r="BG10" s="332">
        <v>1158489.3999999999</v>
      </c>
      <c r="BH10" s="330">
        <v>67</v>
      </c>
      <c r="BI10" s="332">
        <v>15390.25</v>
      </c>
      <c r="BJ10" s="330">
        <v>43</v>
      </c>
      <c r="BK10" s="330">
        <v>35</v>
      </c>
      <c r="BL10" s="217">
        <v>0.81395348837209303</v>
      </c>
    </row>
    <row r="11" spans="1:64" x14ac:dyDescent="0.35">
      <c r="A11" s="16" t="s">
        <v>2</v>
      </c>
      <c r="B11" s="73">
        <v>1</v>
      </c>
      <c r="C11" s="73">
        <v>1</v>
      </c>
      <c r="D11" s="26">
        <v>1</v>
      </c>
      <c r="E11" s="99">
        <v>2</v>
      </c>
      <c r="F11" s="34">
        <v>1200</v>
      </c>
      <c r="G11" s="99">
        <v>0</v>
      </c>
      <c r="H11" s="34">
        <v>0</v>
      </c>
      <c r="I11" s="32">
        <v>4</v>
      </c>
      <c r="J11" s="32">
        <v>4</v>
      </c>
      <c r="K11" s="26">
        <v>1</v>
      </c>
      <c r="L11" s="26"/>
      <c r="M11" s="73">
        <v>1</v>
      </c>
      <c r="N11" s="73">
        <v>1</v>
      </c>
      <c r="O11" s="26">
        <v>1</v>
      </c>
      <c r="P11" s="34"/>
      <c r="Q11" s="34"/>
      <c r="R11" s="99"/>
      <c r="S11" s="34"/>
      <c r="T11" s="32">
        <v>4</v>
      </c>
      <c r="U11" s="32">
        <v>4</v>
      </c>
      <c r="V11" s="26">
        <v>1</v>
      </c>
      <c r="W11" s="26"/>
      <c r="X11" s="73">
        <v>1</v>
      </c>
      <c r="Y11" s="73">
        <v>1</v>
      </c>
      <c r="Z11" s="26">
        <v>1</v>
      </c>
      <c r="AA11" s="34"/>
      <c r="AB11" s="34"/>
      <c r="AC11" s="99"/>
      <c r="AD11" s="34"/>
      <c r="AE11" s="32">
        <v>4</v>
      </c>
      <c r="AF11" s="32">
        <v>4</v>
      </c>
      <c r="AG11" s="26">
        <v>1</v>
      </c>
      <c r="AH11" s="26"/>
      <c r="AI11" s="73">
        <v>1</v>
      </c>
      <c r="AJ11" s="73">
        <v>1</v>
      </c>
      <c r="AK11" s="26">
        <v>1</v>
      </c>
      <c r="AL11" s="34"/>
      <c r="AM11" s="34"/>
      <c r="AN11" s="99"/>
      <c r="AO11" s="34"/>
      <c r="AP11" s="32">
        <v>3</v>
      </c>
      <c r="AQ11" s="32">
        <v>3</v>
      </c>
      <c r="AR11" s="26">
        <v>1</v>
      </c>
      <c r="AS11" s="26"/>
      <c r="AT11" s="97">
        <v>1</v>
      </c>
      <c r="AU11" s="97">
        <v>1</v>
      </c>
      <c r="AV11" s="82">
        <f t="shared" si="1"/>
        <v>1</v>
      </c>
      <c r="AW11" s="98"/>
      <c r="AX11" s="89"/>
      <c r="AY11" s="98"/>
      <c r="AZ11" s="89"/>
      <c r="BA11" s="97">
        <v>2</v>
      </c>
      <c r="BB11" s="97">
        <v>2</v>
      </c>
      <c r="BC11" s="82">
        <f t="shared" si="2"/>
        <v>1</v>
      </c>
      <c r="BD11" s="155" t="str">
        <f t="shared" si="0"/>
        <v>OK</v>
      </c>
      <c r="BE11" s="16" t="s">
        <v>2</v>
      </c>
      <c r="BF11" s="330"/>
      <c r="BG11" s="332"/>
      <c r="BH11" s="330"/>
      <c r="BI11" s="332"/>
      <c r="BJ11" s="330">
        <v>2</v>
      </c>
      <c r="BK11" s="330">
        <v>2</v>
      </c>
      <c r="BL11" s="217">
        <v>1</v>
      </c>
    </row>
    <row r="12" spans="1:64" x14ac:dyDescent="0.35">
      <c r="A12" s="16" t="s">
        <v>26</v>
      </c>
      <c r="B12" s="73"/>
      <c r="C12" s="73"/>
      <c r="D12" s="26"/>
      <c r="E12" s="99"/>
      <c r="F12" s="34"/>
      <c r="G12" s="99"/>
      <c r="H12" s="34"/>
      <c r="I12" s="32"/>
      <c r="J12" s="32"/>
      <c r="K12" s="26"/>
      <c r="L12" s="26"/>
      <c r="M12" s="73"/>
      <c r="N12" s="73"/>
      <c r="O12" s="26"/>
      <c r="P12" s="34"/>
      <c r="Q12" s="34"/>
      <c r="R12" s="99"/>
      <c r="S12" s="34"/>
      <c r="T12" s="32"/>
      <c r="U12" s="32"/>
      <c r="V12" s="26"/>
      <c r="W12" s="26"/>
      <c r="X12" s="73">
        <v>1</v>
      </c>
      <c r="Y12" s="73">
        <v>1</v>
      </c>
      <c r="Z12" s="26">
        <v>1</v>
      </c>
      <c r="AA12" s="34">
        <v>46</v>
      </c>
      <c r="AB12" s="34">
        <v>13324.35</v>
      </c>
      <c r="AC12" s="99">
        <v>2</v>
      </c>
      <c r="AD12" s="34">
        <v>614.97</v>
      </c>
      <c r="AE12" s="32">
        <v>2</v>
      </c>
      <c r="AF12" s="32">
        <v>2</v>
      </c>
      <c r="AG12" s="26">
        <v>1</v>
      </c>
      <c r="AH12" s="26"/>
      <c r="AI12" s="73">
        <v>1</v>
      </c>
      <c r="AJ12" s="73">
        <v>1</v>
      </c>
      <c r="AK12" s="26">
        <v>1</v>
      </c>
      <c r="AL12" s="34"/>
      <c r="AM12" s="34"/>
      <c r="AN12" s="99"/>
      <c r="AO12" s="34"/>
      <c r="AP12" s="32">
        <v>2</v>
      </c>
      <c r="AQ12" s="32">
        <v>2</v>
      </c>
      <c r="AR12" s="26">
        <v>1</v>
      </c>
      <c r="AS12" s="26"/>
      <c r="AT12" s="97">
        <v>1</v>
      </c>
      <c r="AU12" s="97">
        <v>0</v>
      </c>
      <c r="AV12" s="82">
        <f t="shared" si="1"/>
        <v>0</v>
      </c>
      <c r="AW12" s="98"/>
      <c r="AX12" s="89"/>
      <c r="AY12" s="98"/>
      <c r="AZ12" s="89"/>
      <c r="BA12" s="97">
        <v>2</v>
      </c>
      <c r="BB12" s="97">
        <v>1</v>
      </c>
      <c r="BC12" s="82">
        <f t="shared" si="2"/>
        <v>0.5</v>
      </c>
      <c r="BD12" s="155" t="str">
        <f t="shared" si="0"/>
        <v>OK</v>
      </c>
      <c r="BE12" s="16" t="s">
        <v>26</v>
      </c>
      <c r="BF12" s="330"/>
      <c r="BG12" s="332"/>
      <c r="BH12" s="330"/>
      <c r="BI12" s="332"/>
      <c r="BJ12" s="330">
        <v>2</v>
      </c>
      <c r="BK12" s="330">
        <v>1</v>
      </c>
      <c r="BL12" s="217">
        <v>0.5</v>
      </c>
    </row>
    <row r="13" spans="1:64" x14ac:dyDescent="0.35">
      <c r="A13" s="16" t="s">
        <v>306</v>
      </c>
      <c r="B13" s="73">
        <v>4</v>
      </c>
      <c r="C13" s="73">
        <v>4</v>
      </c>
      <c r="D13" s="26">
        <v>1</v>
      </c>
      <c r="E13" s="99">
        <v>3909</v>
      </c>
      <c r="F13" s="34">
        <v>804405.98</v>
      </c>
      <c r="G13" s="99">
        <v>16</v>
      </c>
      <c r="H13" s="34">
        <v>31751</v>
      </c>
      <c r="I13" s="32">
        <v>35</v>
      </c>
      <c r="J13" s="32">
        <v>27</v>
      </c>
      <c r="K13" s="26">
        <v>0.77142857142857146</v>
      </c>
      <c r="L13" s="26"/>
      <c r="M13" s="73">
        <v>5</v>
      </c>
      <c r="N13" s="73">
        <v>5</v>
      </c>
      <c r="O13" s="26">
        <v>1</v>
      </c>
      <c r="P13" s="34">
        <v>3760</v>
      </c>
      <c r="Q13" s="34">
        <v>893948.15000000014</v>
      </c>
      <c r="R13" s="99">
        <v>12</v>
      </c>
      <c r="S13" s="34">
        <v>3900.01</v>
      </c>
      <c r="T13" s="32">
        <v>33</v>
      </c>
      <c r="U13" s="32">
        <v>20</v>
      </c>
      <c r="V13" s="26">
        <v>0.60606060606060608</v>
      </c>
      <c r="W13" s="26"/>
      <c r="X13" s="73">
        <v>6</v>
      </c>
      <c r="Y13" s="73">
        <v>5</v>
      </c>
      <c r="Z13" s="26">
        <v>0.83333333333333337</v>
      </c>
      <c r="AA13" s="34">
        <v>3160</v>
      </c>
      <c r="AB13" s="34">
        <v>611206.32000000007</v>
      </c>
      <c r="AC13" s="99">
        <v>14</v>
      </c>
      <c r="AD13" s="34">
        <v>4175</v>
      </c>
      <c r="AE13" s="32">
        <v>39</v>
      </c>
      <c r="AF13" s="32">
        <v>26</v>
      </c>
      <c r="AG13" s="26">
        <v>0.66666666666666663</v>
      </c>
      <c r="AH13" s="26"/>
      <c r="AI13" s="73">
        <v>6</v>
      </c>
      <c r="AJ13" s="73">
        <v>4</v>
      </c>
      <c r="AK13" s="26">
        <v>0.66666666666666663</v>
      </c>
      <c r="AL13" s="34">
        <v>1026</v>
      </c>
      <c r="AM13" s="34">
        <v>192996.84000000003</v>
      </c>
      <c r="AN13" s="99">
        <v>7</v>
      </c>
      <c r="AO13" s="34">
        <v>820</v>
      </c>
      <c r="AP13" s="32">
        <v>8</v>
      </c>
      <c r="AQ13" s="32">
        <v>5</v>
      </c>
      <c r="AR13" s="26">
        <v>0.625</v>
      </c>
      <c r="AS13" s="26"/>
      <c r="AT13" s="97">
        <v>5</v>
      </c>
      <c r="AU13" s="97">
        <v>4</v>
      </c>
      <c r="AV13" s="82">
        <f t="shared" si="1"/>
        <v>0.8</v>
      </c>
      <c r="AW13" s="98">
        <v>8635</v>
      </c>
      <c r="AX13" s="89">
        <v>311243</v>
      </c>
      <c r="AY13" s="98">
        <v>2</v>
      </c>
      <c r="AZ13" s="89">
        <v>11</v>
      </c>
      <c r="BA13" s="97">
        <v>9</v>
      </c>
      <c r="BB13" s="97">
        <v>7</v>
      </c>
      <c r="BC13" s="82">
        <f t="shared" si="2"/>
        <v>0.77777777777777779</v>
      </c>
      <c r="BD13" s="155" t="str">
        <f t="shared" si="0"/>
        <v>OK</v>
      </c>
      <c r="BE13" s="16" t="s">
        <v>306</v>
      </c>
      <c r="BF13" s="330">
        <v>8635</v>
      </c>
      <c r="BG13" s="332">
        <v>311243</v>
      </c>
      <c r="BH13" s="330">
        <v>2</v>
      </c>
      <c r="BI13" s="332">
        <v>11</v>
      </c>
      <c r="BJ13" s="330">
        <v>9</v>
      </c>
      <c r="BK13" s="330">
        <v>7</v>
      </c>
      <c r="BL13" s="217">
        <v>0.77777777777777779</v>
      </c>
    </row>
    <row r="14" spans="1:64" x14ac:dyDescent="0.35">
      <c r="A14" s="16" t="s">
        <v>3</v>
      </c>
      <c r="B14" s="73">
        <v>18</v>
      </c>
      <c r="C14" s="73">
        <v>16</v>
      </c>
      <c r="D14" s="26">
        <v>0.88888888888888884</v>
      </c>
      <c r="E14" s="99">
        <v>42779</v>
      </c>
      <c r="F14" s="34">
        <v>1219616.6100000003</v>
      </c>
      <c r="G14" s="99">
        <v>188</v>
      </c>
      <c r="H14" s="34">
        <v>10043.09</v>
      </c>
      <c r="I14" s="32">
        <v>29</v>
      </c>
      <c r="J14" s="32">
        <v>23</v>
      </c>
      <c r="K14" s="26">
        <v>0.7931034482758621</v>
      </c>
      <c r="L14" s="26"/>
      <c r="M14" s="73">
        <v>19</v>
      </c>
      <c r="N14" s="73">
        <v>17</v>
      </c>
      <c r="O14" s="26">
        <v>0.89473684210526316</v>
      </c>
      <c r="P14" s="34">
        <v>47088</v>
      </c>
      <c r="Q14" s="34">
        <v>900988.14999999991</v>
      </c>
      <c r="R14" s="99">
        <v>117</v>
      </c>
      <c r="S14" s="34">
        <v>4493.58</v>
      </c>
      <c r="T14" s="32">
        <v>33</v>
      </c>
      <c r="U14" s="32">
        <v>28</v>
      </c>
      <c r="V14" s="26">
        <v>0.84848484848484851</v>
      </c>
      <c r="W14" s="26"/>
      <c r="X14" s="73">
        <v>19</v>
      </c>
      <c r="Y14" s="73">
        <v>16</v>
      </c>
      <c r="Z14" s="26">
        <v>0.84210526315789469</v>
      </c>
      <c r="AA14" s="34">
        <v>58755</v>
      </c>
      <c r="AB14" s="34">
        <v>1031949.3200000001</v>
      </c>
      <c r="AC14" s="99">
        <v>272</v>
      </c>
      <c r="AD14" s="34">
        <v>8505.5400000000009</v>
      </c>
      <c r="AE14" s="32">
        <v>47</v>
      </c>
      <c r="AF14" s="32">
        <v>38</v>
      </c>
      <c r="AG14" s="26">
        <v>0.80851063829787229</v>
      </c>
      <c r="AH14" s="26"/>
      <c r="AI14" s="73">
        <v>17</v>
      </c>
      <c r="AJ14" s="73">
        <v>16</v>
      </c>
      <c r="AK14" s="26">
        <v>0.94117647058823528</v>
      </c>
      <c r="AL14" s="34">
        <v>40119</v>
      </c>
      <c r="AM14" s="34">
        <v>678443.14</v>
      </c>
      <c r="AN14" s="99">
        <v>1671</v>
      </c>
      <c r="AO14" s="34">
        <v>54665.97</v>
      </c>
      <c r="AP14" s="32">
        <v>47</v>
      </c>
      <c r="AQ14" s="32">
        <v>42</v>
      </c>
      <c r="AR14" s="26">
        <v>0.8936170212765957</v>
      </c>
      <c r="AS14" s="26"/>
      <c r="AT14" s="97">
        <v>16</v>
      </c>
      <c r="AU14" s="97">
        <v>16</v>
      </c>
      <c r="AV14" s="82">
        <f t="shared" si="1"/>
        <v>1</v>
      </c>
      <c r="AW14" s="98">
        <v>18891</v>
      </c>
      <c r="AX14" s="89">
        <v>221490.52</v>
      </c>
      <c r="AY14" s="98">
        <v>85</v>
      </c>
      <c r="AZ14" s="89">
        <v>2355.1</v>
      </c>
      <c r="BA14" s="97">
        <v>41</v>
      </c>
      <c r="BB14" s="97">
        <v>34</v>
      </c>
      <c r="BC14" s="82">
        <f t="shared" si="2"/>
        <v>0.82926829268292679</v>
      </c>
      <c r="BD14" s="155" t="str">
        <f t="shared" si="0"/>
        <v>OK</v>
      </c>
      <c r="BE14" s="16" t="s">
        <v>3</v>
      </c>
      <c r="BF14" s="330">
        <v>18891</v>
      </c>
      <c r="BG14" s="332">
        <v>221490.52</v>
      </c>
      <c r="BH14" s="330">
        <v>85</v>
      </c>
      <c r="BI14" s="332">
        <v>2355.1</v>
      </c>
      <c r="BJ14" s="330">
        <v>41</v>
      </c>
      <c r="BK14" s="330">
        <v>34</v>
      </c>
      <c r="BL14" s="217">
        <v>0.82926829268292679</v>
      </c>
    </row>
    <row r="15" spans="1:64" x14ac:dyDescent="0.35">
      <c r="A15" s="16" t="s">
        <v>22</v>
      </c>
      <c r="B15" s="73">
        <v>11</v>
      </c>
      <c r="C15" s="73">
        <v>9</v>
      </c>
      <c r="D15" s="26">
        <v>0.81818181818181823</v>
      </c>
      <c r="E15" s="99">
        <v>497417</v>
      </c>
      <c r="F15" s="34">
        <v>3537747.1099999994</v>
      </c>
      <c r="G15" s="99">
        <v>60</v>
      </c>
      <c r="H15" s="34">
        <v>1798.59</v>
      </c>
      <c r="I15" s="32">
        <v>13</v>
      </c>
      <c r="J15" s="32">
        <v>10</v>
      </c>
      <c r="K15" s="26">
        <v>0.76923076923076927</v>
      </c>
      <c r="L15" s="26"/>
      <c r="M15" s="73">
        <v>13</v>
      </c>
      <c r="N15" s="73">
        <v>4</v>
      </c>
      <c r="O15" s="26">
        <v>0.30769230769230771</v>
      </c>
      <c r="P15" s="34">
        <v>464852</v>
      </c>
      <c r="Q15" s="34">
        <v>3447884.7000000007</v>
      </c>
      <c r="R15" s="99">
        <v>53</v>
      </c>
      <c r="S15" s="34">
        <v>998.85</v>
      </c>
      <c r="T15" s="32">
        <v>14</v>
      </c>
      <c r="U15" s="32">
        <v>10</v>
      </c>
      <c r="V15" s="26">
        <v>0.7142857142857143</v>
      </c>
      <c r="W15" s="26"/>
      <c r="X15" s="73">
        <v>8</v>
      </c>
      <c r="Y15" s="73">
        <v>5</v>
      </c>
      <c r="Z15" s="26">
        <v>0.625</v>
      </c>
      <c r="AA15" s="34">
        <v>507681</v>
      </c>
      <c r="AB15" s="34">
        <v>3732393.23</v>
      </c>
      <c r="AC15" s="99">
        <v>329</v>
      </c>
      <c r="AD15" s="34">
        <v>3954.8599999999997</v>
      </c>
      <c r="AE15" s="32">
        <v>14</v>
      </c>
      <c r="AF15" s="32">
        <v>11</v>
      </c>
      <c r="AG15" s="26">
        <v>0.7857142857142857</v>
      </c>
      <c r="AH15" s="26"/>
      <c r="AI15" s="73">
        <v>8</v>
      </c>
      <c r="AJ15" s="73">
        <v>7</v>
      </c>
      <c r="AK15" s="26">
        <v>0.875</v>
      </c>
      <c r="AL15" s="34">
        <v>454694</v>
      </c>
      <c r="AM15" s="34">
        <v>3334926.3</v>
      </c>
      <c r="AN15" s="99">
        <v>155</v>
      </c>
      <c r="AO15" s="34">
        <v>6102.81</v>
      </c>
      <c r="AP15" s="32">
        <v>15</v>
      </c>
      <c r="AQ15" s="32">
        <v>11</v>
      </c>
      <c r="AR15" s="26">
        <v>0.73333333333333328</v>
      </c>
      <c r="AS15" s="26"/>
      <c r="AT15" s="97">
        <v>6</v>
      </c>
      <c r="AU15" s="97">
        <v>5</v>
      </c>
      <c r="AV15" s="82">
        <f t="shared" si="1"/>
        <v>0.83333333333333337</v>
      </c>
      <c r="AW15" s="98">
        <v>460592</v>
      </c>
      <c r="AX15" s="89">
        <v>3777951.5300000003</v>
      </c>
      <c r="AY15" s="98">
        <v>336</v>
      </c>
      <c r="AZ15" s="89">
        <v>10409.430000000002</v>
      </c>
      <c r="BA15" s="97">
        <v>14</v>
      </c>
      <c r="BB15" s="97">
        <v>13</v>
      </c>
      <c r="BC15" s="82">
        <f t="shared" si="2"/>
        <v>0.9285714285714286</v>
      </c>
      <c r="BD15" s="155" t="str">
        <f t="shared" si="0"/>
        <v>OK</v>
      </c>
      <c r="BE15" s="16" t="s">
        <v>22</v>
      </c>
      <c r="BF15" s="330">
        <v>460592</v>
      </c>
      <c r="BG15" s="332">
        <v>3777951.5300000003</v>
      </c>
      <c r="BH15" s="330">
        <v>336</v>
      </c>
      <c r="BI15" s="332">
        <v>10409.430000000002</v>
      </c>
      <c r="BJ15" s="330">
        <v>14</v>
      </c>
      <c r="BK15" s="330">
        <v>13</v>
      </c>
      <c r="BL15" s="217">
        <v>0.9285714285714286</v>
      </c>
    </row>
    <row r="16" spans="1:64" x14ac:dyDescent="0.35">
      <c r="A16" s="16" t="s">
        <v>23</v>
      </c>
      <c r="B16" s="73">
        <v>7</v>
      </c>
      <c r="C16" s="73">
        <v>6</v>
      </c>
      <c r="D16" s="26">
        <v>0.8571428571428571</v>
      </c>
      <c r="E16" s="99">
        <v>19969</v>
      </c>
      <c r="F16" s="34">
        <v>8357746.3600000003</v>
      </c>
      <c r="G16" s="99">
        <v>6</v>
      </c>
      <c r="H16" s="34">
        <v>3993.97</v>
      </c>
      <c r="I16" s="32">
        <v>6</v>
      </c>
      <c r="J16" s="32">
        <v>3</v>
      </c>
      <c r="K16" s="26">
        <v>0.5</v>
      </c>
      <c r="L16" s="26"/>
      <c r="M16" s="73">
        <v>7</v>
      </c>
      <c r="N16" s="73">
        <v>6</v>
      </c>
      <c r="O16" s="26">
        <v>0.8571428571428571</v>
      </c>
      <c r="P16" s="34">
        <v>22588</v>
      </c>
      <c r="Q16" s="34">
        <v>8960100.0599999987</v>
      </c>
      <c r="R16" s="99">
        <v>8</v>
      </c>
      <c r="S16" s="34">
        <v>1525.79</v>
      </c>
      <c r="T16" s="32">
        <v>22</v>
      </c>
      <c r="U16" s="32">
        <v>20</v>
      </c>
      <c r="V16" s="26">
        <v>0.90909090909090906</v>
      </c>
      <c r="W16" s="26"/>
      <c r="X16" s="73">
        <v>12</v>
      </c>
      <c r="Y16" s="73">
        <v>12</v>
      </c>
      <c r="Z16" s="26">
        <v>1</v>
      </c>
      <c r="AA16" s="34">
        <v>23224</v>
      </c>
      <c r="AB16" s="34">
        <v>10227923.02</v>
      </c>
      <c r="AC16" s="99">
        <v>12</v>
      </c>
      <c r="AD16" s="34">
        <v>1598.01</v>
      </c>
      <c r="AE16" s="32">
        <v>25</v>
      </c>
      <c r="AF16" s="32">
        <v>22</v>
      </c>
      <c r="AG16" s="26">
        <v>0.88</v>
      </c>
      <c r="AH16" s="26"/>
      <c r="AI16" s="73">
        <v>13</v>
      </c>
      <c r="AJ16" s="73">
        <v>8</v>
      </c>
      <c r="AK16" s="26">
        <v>0.61538461538461542</v>
      </c>
      <c r="AL16" s="34">
        <v>11110</v>
      </c>
      <c r="AM16" s="34">
        <v>6153031.1999999983</v>
      </c>
      <c r="AN16" s="99">
        <v>139</v>
      </c>
      <c r="AO16" s="34">
        <v>28535</v>
      </c>
      <c r="AP16" s="32">
        <v>15</v>
      </c>
      <c r="AQ16" s="32">
        <v>14</v>
      </c>
      <c r="AR16" s="26">
        <v>0.93333333333333335</v>
      </c>
      <c r="AS16" s="26"/>
      <c r="AT16" s="97">
        <v>13</v>
      </c>
      <c r="AU16" s="97">
        <v>12</v>
      </c>
      <c r="AV16" s="82">
        <f t="shared" si="1"/>
        <v>0.92307692307692313</v>
      </c>
      <c r="AW16" s="98">
        <v>3645</v>
      </c>
      <c r="AX16" s="89">
        <v>3459724.92</v>
      </c>
      <c r="AY16" s="98">
        <v>2</v>
      </c>
      <c r="AZ16" s="89">
        <v>481.8</v>
      </c>
      <c r="BA16" s="97">
        <v>17</v>
      </c>
      <c r="BB16" s="97">
        <v>17</v>
      </c>
      <c r="BC16" s="82">
        <f t="shared" si="2"/>
        <v>1</v>
      </c>
      <c r="BD16" s="155" t="str">
        <f t="shared" si="0"/>
        <v>OK</v>
      </c>
      <c r="BE16" s="16" t="s">
        <v>23</v>
      </c>
      <c r="BF16" s="330">
        <v>3645</v>
      </c>
      <c r="BG16" s="332">
        <v>3459724.92</v>
      </c>
      <c r="BH16" s="330">
        <v>2</v>
      </c>
      <c r="BI16" s="332">
        <v>481.8</v>
      </c>
      <c r="BJ16" s="330">
        <v>17</v>
      </c>
      <c r="BK16" s="330">
        <v>17</v>
      </c>
      <c r="BL16" s="217">
        <v>1</v>
      </c>
    </row>
    <row r="17" spans="1:64" x14ac:dyDescent="0.35">
      <c r="A17" s="16" t="s">
        <v>4</v>
      </c>
      <c r="B17" s="73"/>
      <c r="C17" s="73"/>
      <c r="D17" s="26"/>
      <c r="E17" s="99"/>
      <c r="F17" s="34"/>
      <c r="G17" s="99"/>
      <c r="H17" s="34"/>
      <c r="I17" s="32"/>
      <c r="J17" s="32"/>
      <c r="K17" s="26"/>
      <c r="L17" s="26"/>
      <c r="M17" s="73"/>
      <c r="N17" s="73"/>
      <c r="O17" s="26"/>
      <c r="P17" s="34"/>
      <c r="Q17" s="34"/>
      <c r="R17" s="99"/>
      <c r="S17" s="34"/>
      <c r="T17" s="32"/>
      <c r="U17" s="32"/>
      <c r="V17" s="26"/>
      <c r="W17" s="26"/>
      <c r="X17" s="73" t="s">
        <v>302</v>
      </c>
      <c r="Y17" s="73" t="s">
        <v>302</v>
      </c>
      <c r="Z17" s="26"/>
      <c r="AA17" s="34"/>
      <c r="AB17" s="34"/>
      <c r="AC17" s="99"/>
      <c r="AD17" s="34"/>
      <c r="AE17" s="32"/>
      <c r="AF17" s="32"/>
      <c r="AG17" s="26"/>
      <c r="AH17" s="26"/>
      <c r="AI17" s="73" t="s">
        <v>302</v>
      </c>
      <c r="AJ17" s="73" t="s">
        <v>302</v>
      </c>
      <c r="AK17" s="26"/>
      <c r="AL17" s="34"/>
      <c r="AM17" s="34"/>
      <c r="AN17" s="99"/>
      <c r="AO17" s="34"/>
      <c r="AP17" s="32"/>
      <c r="AQ17" s="32"/>
      <c r="AR17" s="26"/>
      <c r="AS17" s="26"/>
      <c r="AT17" s="97" t="s">
        <v>302</v>
      </c>
      <c r="AU17" s="97" t="s">
        <v>302</v>
      </c>
      <c r="AV17" s="82"/>
      <c r="AW17" s="98"/>
      <c r="AX17" s="89"/>
      <c r="AY17" s="98"/>
      <c r="AZ17" s="89"/>
      <c r="BA17" s="97"/>
      <c r="BB17" s="97"/>
      <c r="BC17" s="82"/>
      <c r="BD17" s="155" t="str">
        <f t="shared" si="0"/>
        <v>OK</v>
      </c>
      <c r="BE17" s="16" t="s">
        <v>4</v>
      </c>
      <c r="BF17" s="330"/>
      <c r="BG17" s="332"/>
      <c r="BH17" s="330"/>
      <c r="BI17" s="332"/>
      <c r="BJ17" s="330"/>
      <c r="BK17" s="330"/>
      <c r="BL17" s="217"/>
    </row>
    <row r="18" spans="1:64" x14ac:dyDescent="0.35">
      <c r="A18" s="16" t="s">
        <v>6</v>
      </c>
      <c r="B18" s="73">
        <v>2</v>
      </c>
      <c r="C18" s="73">
        <v>1</v>
      </c>
      <c r="D18" s="26">
        <v>0.5</v>
      </c>
      <c r="E18" s="99">
        <v>1618</v>
      </c>
      <c r="F18" s="34">
        <v>1798840.54</v>
      </c>
      <c r="G18" s="99">
        <v>120</v>
      </c>
      <c r="H18" s="34">
        <v>141723</v>
      </c>
      <c r="I18" s="32">
        <v>16</v>
      </c>
      <c r="J18" s="32">
        <v>6</v>
      </c>
      <c r="K18" s="26">
        <v>0.375</v>
      </c>
      <c r="L18" s="26"/>
      <c r="M18" s="73">
        <v>3</v>
      </c>
      <c r="N18" s="73">
        <v>1</v>
      </c>
      <c r="O18" s="26">
        <v>0.33333333333333331</v>
      </c>
      <c r="P18" s="34">
        <v>1349</v>
      </c>
      <c r="Q18" s="34">
        <v>1472491.53</v>
      </c>
      <c r="R18" s="99">
        <v>97</v>
      </c>
      <c r="S18" s="34">
        <v>127892.01</v>
      </c>
      <c r="T18" s="32">
        <v>21</v>
      </c>
      <c r="U18" s="32">
        <v>8</v>
      </c>
      <c r="V18" s="26">
        <v>0.38095238095238093</v>
      </c>
      <c r="W18" s="26"/>
      <c r="X18" s="73">
        <v>3</v>
      </c>
      <c r="Y18" s="73">
        <v>3</v>
      </c>
      <c r="Z18" s="26">
        <v>1</v>
      </c>
      <c r="AA18" s="34">
        <v>1319</v>
      </c>
      <c r="AB18" s="34">
        <v>1456415.64</v>
      </c>
      <c r="AC18" s="99">
        <v>90</v>
      </c>
      <c r="AD18" s="34">
        <v>94659.45</v>
      </c>
      <c r="AE18" s="32">
        <v>22</v>
      </c>
      <c r="AF18" s="32">
        <v>10</v>
      </c>
      <c r="AG18" s="26">
        <v>0.45454545454545453</v>
      </c>
      <c r="AH18" s="26"/>
      <c r="AI18" s="73">
        <v>5</v>
      </c>
      <c r="AJ18" s="73">
        <v>4</v>
      </c>
      <c r="AK18" s="26">
        <v>0.8</v>
      </c>
      <c r="AL18" s="34">
        <v>1592</v>
      </c>
      <c r="AM18" s="34">
        <v>1807567.52</v>
      </c>
      <c r="AN18" s="99">
        <v>209</v>
      </c>
      <c r="AO18" s="34">
        <v>198772.75</v>
      </c>
      <c r="AP18" s="32">
        <v>19</v>
      </c>
      <c r="AQ18" s="32">
        <v>19</v>
      </c>
      <c r="AR18" s="26">
        <v>1</v>
      </c>
      <c r="AS18" s="26"/>
      <c r="AT18" s="97">
        <v>4</v>
      </c>
      <c r="AU18" s="97">
        <v>3</v>
      </c>
      <c r="AV18" s="82">
        <f>AU18/AT18</f>
        <v>0.75</v>
      </c>
      <c r="AW18" s="98">
        <v>1400</v>
      </c>
      <c r="AX18" s="89">
        <v>2090038.42</v>
      </c>
      <c r="AY18" s="98">
        <v>139</v>
      </c>
      <c r="AZ18" s="89">
        <v>169618.56</v>
      </c>
      <c r="BA18" s="97">
        <v>17</v>
      </c>
      <c r="BB18" s="97">
        <v>17</v>
      </c>
      <c r="BC18" s="82">
        <f>BB18/BA18</f>
        <v>1</v>
      </c>
      <c r="BD18" s="155" t="str">
        <f t="shared" si="0"/>
        <v>OK</v>
      </c>
      <c r="BE18" s="16" t="s">
        <v>6</v>
      </c>
      <c r="BF18" s="330">
        <v>1400</v>
      </c>
      <c r="BG18" s="332">
        <v>2090038.42</v>
      </c>
      <c r="BH18" s="330">
        <v>139</v>
      </c>
      <c r="BI18" s="332">
        <v>169618.56</v>
      </c>
      <c r="BJ18" s="330">
        <v>17</v>
      </c>
      <c r="BK18" s="330">
        <v>17</v>
      </c>
      <c r="BL18" s="217">
        <v>1</v>
      </c>
    </row>
    <row r="19" spans="1:64" x14ac:dyDescent="0.35">
      <c r="A19" s="16" t="s">
        <v>5</v>
      </c>
      <c r="B19" s="73">
        <v>1</v>
      </c>
      <c r="C19" s="73">
        <v>1</v>
      </c>
      <c r="D19" s="26">
        <v>1</v>
      </c>
      <c r="E19" s="99">
        <v>30544</v>
      </c>
      <c r="F19" s="34">
        <v>4217166.84</v>
      </c>
      <c r="G19" s="99">
        <v>372</v>
      </c>
      <c r="H19" s="34">
        <v>89603.69</v>
      </c>
      <c r="I19" s="32">
        <v>7</v>
      </c>
      <c r="J19" s="32">
        <v>4</v>
      </c>
      <c r="K19" s="26">
        <v>0.5714285714285714</v>
      </c>
      <c r="L19" s="26"/>
      <c r="M19" s="73">
        <v>1</v>
      </c>
      <c r="N19" s="73">
        <v>1</v>
      </c>
      <c r="O19" s="26">
        <v>1</v>
      </c>
      <c r="P19" s="34">
        <v>32608</v>
      </c>
      <c r="Q19" s="34">
        <v>4561639.74</v>
      </c>
      <c r="R19" s="99">
        <v>324</v>
      </c>
      <c r="S19" s="34">
        <v>79735.929999999993</v>
      </c>
      <c r="T19" s="32">
        <v>8</v>
      </c>
      <c r="U19" s="32">
        <v>8</v>
      </c>
      <c r="V19" s="26">
        <v>1</v>
      </c>
      <c r="W19" s="26"/>
      <c r="X19" s="73">
        <v>1</v>
      </c>
      <c r="Y19" s="73">
        <v>1</v>
      </c>
      <c r="Z19" s="26">
        <v>1</v>
      </c>
      <c r="AA19" s="34">
        <v>33212</v>
      </c>
      <c r="AB19" s="34">
        <v>4650297.5999999996</v>
      </c>
      <c r="AC19" s="99">
        <v>213</v>
      </c>
      <c r="AD19" s="34">
        <v>54360.82</v>
      </c>
      <c r="AE19" s="32">
        <v>9</v>
      </c>
      <c r="AF19" s="32">
        <v>9</v>
      </c>
      <c r="AG19" s="26">
        <v>1</v>
      </c>
      <c r="AH19" s="26"/>
      <c r="AI19" s="73">
        <v>1</v>
      </c>
      <c r="AJ19" s="73">
        <v>1</v>
      </c>
      <c r="AK19" s="26">
        <v>1</v>
      </c>
      <c r="AL19" s="34">
        <v>29847</v>
      </c>
      <c r="AM19" s="34">
        <v>4479279.63</v>
      </c>
      <c r="AN19" s="99">
        <v>265</v>
      </c>
      <c r="AO19" s="34">
        <v>90868.7</v>
      </c>
      <c r="AP19" s="32">
        <v>9</v>
      </c>
      <c r="AQ19" s="32">
        <v>9</v>
      </c>
      <c r="AR19" s="26">
        <v>1</v>
      </c>
      <c r="AS19" s="26"/>
      <c r="AT19" s="97">
        <v>1</v>
      </c>
      <c r="AU19" s="97">
        <v>1</v>
      </c>
      <c r="AV19" s="82">
        <f>AU19/AT19</f>
        <v>1</v>
      </c>
      <c r="AW19" s="98">
        <v>32142</v>
      </c>
      <c r="AX19" s="89">
        <v>4885580.3699999992</v>
      </c>
      <c r="AY19" s="98">
        <v>131</v>
      </c>
      <c r="AZ19" s="89">
        <v>32361.07</v>
      </c>
      <c r="BA19" s="97">
        <v>9</v>
      </c>
      <c r="BB19" s="97">
        <v>9</v>
      </c>
      <c r="BC19" s="82">
        <f>BB19/BA19</f>
        <v>1</v>
      </c>
      <c r="BD19" s="155" t="str">
        <f t="shared" si="0"/>
        <v>OK</v>
      </c>
      <c r="BE19" s="16" t="s">
        <v>5</v>
      </c>
      <c r="BF19" s="330">
        <v>32142</v>
      </c>
      <c r="BG19" s="332">
        <v>4885580.3699999992</v>
      </c>
      <c r="BH19" s="330">
        <v>131</v>
      </c>
      <c r="BI19" s="332">
        <v>32361.07</v>
      </c>
      <c r="BJ19" s="330">
        <v>9</v>
      </c>
      <c r="BK19" s="330">
        <v>9</v>
      </c>
      <c r="BL19" s="217">
        <v>1</v>
      </c>
    </row>
    <row r="20" spans="1:64" x14ac:dyDescent="0.35">
      <c r="A20" s="16" t="s">
        <v>24</v>
      </c>
      <c r="B20" s="73"/>
      <c r="C20" s="73"/>
      <c r="D20" s="26"/>
      <c r="E20" s="99"/>
      <c r="F20" s="34"/>
      <c r="G20" s="99"/>
      <c r="H20" s="34"/>
      <c r="I20" s="32"/>
      <c r="J20" s="32"/>
      <c r="K20" s="26"/>
      <c r="L20" s="26"/>
      <c r="M20" s="73"/>
      <c r="N20" s="73"/>
      <c r="O20" s="26"/>
      <c r="P20" s="34"/>
      <c r="Q20" s="34"/>
      <c r="R20" s="99"/>
      <c r="S20" s="34"/>
      <c r="T20" s="32"/>
      <c r="U20" s="32"/>
      <c r="V20" s="26"/>
      <c r="W20" s="26"/>
      <c r="X20" s="73" t="s">
        <v>302</v>
      </c>
      <c r="Y20" s="73" t="s">
        <v>302</v>
      </c>
      <c r="Z20" s="26"/>
      <c r="AA20" s="34"/>
      <c r="AB20" s="34"/>
      <c r="AC20" s="99"/>
      <c r="AD20" s="34"/>
      <c r="AE20" s="32"/>
      <c r="AF20" s="32"/>
      <c r="AG20" s="26"/>
      <c r="AH20" s="26"/>
      <c r="AI20" s="73" t="s">
        <v>302</v>
      </c>
      <c r="AJ20" s="73" t="s">
        <v>302</v>
      </c>
      <c r="AK20" s="26"/>
      <c r="AL20" s="34"/>
      <c r="AM20" s="34"/>
      <c r="AN20" s="99"/>
      <c r="AO20" s="34"/>
      <c r="AP20" s="32"/>
      <c r="AQ20" s="32"/>
      <c r="AR20" s="26"/>
      <c r="AS20" s="26"/>
      <c r="AT20" s="97" t="s">
        <v>302</v>
      </c>
      <c r="AU20" s="97" t="s">
        <v>302</v>
      </c>
      <c r="AV20" s="82"/>
      <c r="AW20" s="98"/>
      <c r="AX20" s="89"/>
      <c r="AY20" s="98"/>
      <c r="AZ20" s="89"/>
      <c r="BA20" s="97"/>
      <c r="BB20" s="97"/>
      <c r="BC20" s="82"/>
      <c r="BD20" s="155" t="str">
        <f t="shared" si="0"/>
        <v>OK</v>
      </c>
      <c r="BE20" s="16" t="s">
        <v>24</v>
      </c>
      <c r="BF20" s="330"/>
      <c r="BG20" s="332"/>
      <c r="BH20" s="330"/>
      <c r="BI20" s="332"/>
      <c r="BJ20" s="330"/>
      <c r="BK20" s="330"/>
      <c r="BL20" s="217"/>
    </row>
    <row r="21" spans="1:64" x14ac:dyDescent="0.35">
      <c r="A21" s="16" t="s">
        <v>7</v>
      </c>
      <c r="B21" s="73">
        <v>8</v>
      </c>
      <c r="C21" s="73">
        <v>6</v>
      </c>
      <c r="D21" s="26">
        <v>0.75</v>
      </c>
      <c r="E21" s="99">
        <v>2094</v>
      </c>
      <c r="F21" s="34">
        <v>469326.44</v>
      </c>
      <c r="G21" s="99">
        <v>85</v>
      </c>
      <c r="H21" s="34">
        <v>8809.3700000000008</v>
      </c>
      <c r="I21" s="32">
        <v>13</v>
      </c>
      <c r="J21" s="32">
        <v>5</v>
      </c>
      <c r="K21" s="26">
        <v>0.38461538461538464</v>
      </c>
      <c r="L21" s="26"/>
      <c r="M21" s="73">
        <v>8</v>
      </c>
      <c r="N21" s="73">
        <v>6</v>
      </c>
      <c r="O21" s="26">
        <v>0.75</v>
      </c>
      <c r="P21" s="34">
        <v>2121</v>
      </c>
      <c r="Q21" s="34">
        <v>483179.62</v>
      </c>
      <c r="R21" s="99">
        <v>64</v>
      </c>
      <c r="S21" s="34">
        <v>6403.22</v>
      </c>
      <c r="T21" s="32">
        <v>13</v>
      </c>
      <c r="U21" s="32">
        <v>4</v>
      </c>
      <c r="V21" s="26">
        <v>0.30769230769230771</v>
      </c>
      <c r="W21" s="26"/>
      <c r="X21" s="73">
        <v>9</v>
      </c>
      <c r="Y21" s="73">
        <v>8</v>
      </c>
      <c r="Z21" s="26">
        <v>0.88888888888888884</v>
      </c>
      <c r="AA21" s="34">
        <v>2009</v>
      </c>
      <c r="AB21" s="34">
        <v>453994.03</v>
      </c>
      <c r="AC21" s="99">
        <v>51</v>
      </c>
      <c r="AD21" s="34">
        <v>10155.99</v>
      </c>
      <c r="AE21" s="32">
        <v>12</v>
      </c>
      <c r="AF21" s="32">
        <v>3</v>
      </c>
      <c r="AG21" s="26">
        <v>0.25</v>
      </c>
      <c r="AH21" s="26"/>
      <c r="AI21" s="73">
        <v>9</v>
      </c>
      <c r="AJ21" s="73">
        <v>9</v>
      </c>
      <c r="AK21" s="26">
        <v>1</v>
      </c>
      <c r="AL21" s="34">
        <v>1985</v>
      </c>
      <c r="AM21" s="34">
        <v>360905.47</v>
      </c>
      <c r="AN21" s="99">
        <v>384</v>
      </c>
      <c r="AO21" s="34">
        <v>25982.54</v>
      </c>
      <c r="AP21" s="32">
        <v>11</v>
      </c>
      <c r="AQ21" s="32">
        <v>4</v>
      </c>
      <c r="AR21" s="26">
        <v>0.36363636363636365</v>
      </c>
      <c r="AS21" s="26"/>
      <c r="AT21" s="97">
        <v>9</v>
      </c>
      <c r="AU21" s="97">
        <v>9</v>
      </c>
      <c r="AV21" s="82">
        <f>AU21/AT21</f>
        <v>1</v>
      </c>
      <c r="AW21" s="98">
        <v>936</v>
      </c>
      <c r="AX21" s="89">
        <v>322299</v>
      </c>
      <c r="AY21" s="98">
        <v>3</v>
      </c>
      <c r="AZ21" s="89">
        <v>900</v>
      </c>
      <c r="BA21" s="97">
        <v>10</v>
      </c>
      <c r="BB21" s="97">
        <v>4</v>
      </c>
      <c r="BC21" s="82">
        <f>BB21/BA21</f>
        <v>0.4</v>
      </c>
      <c r="BD21" s="155" t="str">
        <f t="shared" si="0"/>
        <v>OK</v>
      </c>
      <c r="BE21" s="16" t="s">
        <v>7</v>
      </c>
      <c r="BF21" s="330">
        <v>936</v>
      </c>
      <c r="BG21" s="332">
        <v>322299</v>
      </c>
      <c r="BH21" s="330">
        <v>3</v>
      </c>
      <c r="BI21" s="332">
        <v>900</v>
      </c>
      <c r="BJ21" s="330">
        <v>10</v>
      </c>
      <c r="BK21" s="330">
        <v>4</v>
      </c>
      <c r="BL21" s="217">
        <v>0.4</v>
      </c>
    </row>
    <row r="22" spans="1:64" x14ac:dyDescent="0.35">
      <c r="A22" s="16" t="s">
        <v>8</v>
      </c>
      <c r="B22" s="73"/>
      <c r="C22" s="73"/>
      <c r="D22" s="26"/>
      <c r="E22" s="99"/>
      <c r="F22" s="34"/>
      <c r="G22" s="99"/>
      <c r="H22" s="34"/>
      <c r="I22" s="32"/>
      <c r="J22" s="32"/>
      <c r="K22" s="26"/>
      <c r="L22" s="26"/>
      <c r="M22" s="73"/>
      <c r="N22" s="73"/>
      <c r="O22" s="26"/>
      <c r="P22" s="34"/>
      <c r="Q22" s="34"/>
      <c r="R22" s="99"/>
      <c r="S22" s="34"/>
      <c r="T22" s="32"/>
      <c r="U22" s="32"/>
      <c r="V22" s="26"/>
      <c r="W22" s="26"/>
      <c r="X22" s="73" t="s">
        <v>302</v>
      </c>
      <c r="Y22" s="73" t="s">
        <v>302</v>
      </c>
      <c r="Z22" s="26"/>
      <c r="AA22" s="34"/>
      <c r="AB22" s="34"/>
      <c r="AC22" s="99"/>
      <c r="AD22" s="34"/>
      <c r="AE22" s="32"/>
      <c r="AF22" s="32"/>
      <c r="AG22" s="26"/>
      <c r="AH22" s="26"/>
      <c r="AI22" s="73" t="s">
        <v>302</v>
      </c>
      <c r="AJ22" s="73" t="s">
        <v>302</v>
      </c>
      <c r="AK22" s="26"/>
      <c r="AL22" s="34"/>
      <c r="AM22" s="34"/>
      <c r="AN22" s="99"/>
      <c r="AO22" s="34"/>
      <c r="AP22" s="32"/>
      <c r="AQ22" s="32"/>
      <c r="AR22" s="26"/>
      <c r="AS22" s="26"/>
      <c r="AT22" s="97">
        <v>1</v>
      </c>
      <c r="AU22" s="97">
        <v>0</v>
      </c>
      <c r="AV22" s="82">
        <f>AU22/AT22</f>
        <v>0</v>
      </c>
      <c r="AW22" s="98">
        <v>145</v>
      </c>
      <c r="AX22" s="89">
        <v>12235.429999999998</v>
      </c>
      <c r="AY22" s="98">
        <v>1</v>
      </c>
      <c r="AZ22" s="89">
        <v>44.16</v>
      </c>
      <c r="BA22" s="97">
        <v>1</v>
      </c>
      <c r="BB22" s="97">
        <v>1</v>
      </c>
      <c r="BC22" s="82">
        <f>BB22/BA22</f>
        <v>1</v>
      </c>
      <c r="BD22" s="155" t="str">
        <f t="shared" si="0"/>
        <v>OK</v>
      </c>
      <c r="BE22" s="16" t="s">
        <v>8</v>
      </c>
      <c r="BF22" s="330">
        <v>145</v>
      </c>
      <c r="BG22" s="332">
        <v>12235.429999999998</v>
      </c>
      <c r="BH22" s="330">
        <v>1</v>
      </c>
      <c r="BI22" s="332">
        <v>44.16</v>
      </c>
      <c r="BJ22" s="330">
        <v>1</v>
      </c>
      <c r="BK22" s="330">
        <v>1</v>
      </c>
      <c r="BL22" s="217">
        <v>1</v>
      </c>
    </row>
    <row r="23" spans="1:64" x14ac:dyDescent="0.35">
      <c r="A23" s="16" t="s">
        <v>19</v>
      </c>
      <c r="B23" s="73">
        <v>142</v>
      </c>
      <c r="C23" s="73">
        <v>103</v>
      </c>
      <c r="D23" s="26">
        <v>0.72535211267605637</v>
      </c>
      <c r="E23" s="99">
        <v>246928</v>
      </c>
      <c r="F23" s="34">
        <v>18352164.690000005</v>
      </c>
      <c r="G23" s="99">
        <v>463</v>
      </c>
      <c r="H23" s="34">
        <v>91854.35</v>
      </c>
      <c r="I23" s="32">
        <v>396</v>
      </c>
      <c r="J23" s="32">
        <v>215</v>
      </c>
      <c r="K23" s="26">
        <v>0.54292929292929293</v>
      </c>
      <c r="L23" s="26"/>
      <c r="M23" s="73">
        <v>138</v>
      </c>
      <c r="N23" s="73">
        <v>104</v>
      </c>
      <c r="O23" s="26">
        <v>0.75362318840579712</v>
      </c>
      <c r="P23" s="34">
        <v>259253</v>
      </c>
      <c r="Q23" s="34">
        <v>19729707.079999994</v>
      </c>
      <c r="R23" s="99">
        <v>1088</v>
      </c>
      <c r="S23" s="34">
        <v>155363.74</v>
      </c>
      <c r="T23" s="32">
        <v>425</v>
      </c>
      <c r="U23" s="32">
        <v>214</v>
      </c>
      <c r="V23" s="26">
        <v>0.50352941176470589</v>
      </c>
      <c r="W23" s="26"/>
      <c r="X23" s="73">
        <v>138</v>
      </c>
      <c r="Y23" s="73">
        <v>102</v>
      </c>
      <c r="Z23" s="26">
        <v>0.73913043478260865</v>
      </c>
      <c r="AA23" s="34">
        <v>280036</v>
      </c>
      <c r="AB23" s="34">
        <v>20853167.739999995</v>
      </c>
      <c r="AC23" s="99">
        <v>665</v>
      </c>
      <c r="AD23" s="34">
        <v>150114.78</v>
      </c>
      <c r="AE23" s="32">
        <v>440</v>
      </c>
      <c r="AF23" s="32">
        <v>250</v>
      </c>
      <c r="AG23" s="26">
        <v>0.56818181818181823</v>
      </c>
      <c r="AH23" s="26"/>
      <c r="AI23" s="73">
        <v>36</v>
      </c>
      <c r="AJ23" s="73">
        <v>32</v>
      </c>
      <c r="AK23" s="26">
        <v>0.88888888888888884</v>
      </c>
      <c r="AL23" s="34">
        <v>13125</v>
      </c>
      <c r="AM23" s="34">
        <v>1063640.31</v>
      </c>
      <c r="AN23" s="99">
        <v>493</v>
      </c>
      <c r="AO23" s="34">
        <v>128131.15999999999</v>
      </c>
      <c r="AP23" s="32">
        <v>58</v>
      </c>
      <c r="AQ23" s="32">
        <v>32</v>
      </c>
      <c r="AR23" s="26">
        <v>0.55172413793103448</v>
      </c>
      <c r="AS23" s="26"/>
      <c r="AT23" s="97">
        <v>30</v>
      </c>
      <c r="AU23" s="97">
        <v>22</v>
      </c>
      <c r="AV23" s="82">
        <f>AU23/AT23</f>
        <v>0.73333333333333328</v>
      </c>
      <c r="AW23" s="98">
        <v>1699</v>
      </c>
      <c r="AX23" s="89">
        <v>336178.2</v>
      </c>
      <c r="AY23" s="98">
        <v>36</v>
      </c>
      <c r="AZ23" s="89">
        <v>15906.96</v>
      </c>
      <c r="BA23" s="97">
        <v>48</v>
      </c>
      <c r="BB23" s="97">
        <v>39</v>
      </c>
      <c r="BC23" s="82">
        <f>BB23/BA23</f>
        <v>0.8125</v>
      </c>
      <c r="BD23" s="155" t="str">
        <f t="shared" si="0"/>
        <v>OK</v>
      </c>
      <c r="BE23" s="16" t="s">
        <v>19</v>
      </c>
      <c r="BF23" s="330">
        <v>1699</v>
      </c>
      <c r="BG23" s="332">
        <v>336178.2</v>
      </c>
      <c r="BH23" s="330">
        <v>36</v>
      </c>
      <c r="BI23" s="332">
        <v>15906.96</v>
      </c>
      <c r="BJ23" s="330">
        <v>48</v>
      </c>
      <c r="BK23" s="330">
        <v>39</v>
      </c>
      <c r="BL23" s="217">
        <v>0.8125</v>
      </c>
    </row>
    <row r="24" spans="1:64" x14ac:dyDescent="0.35">
      <c r="A24" s="16" t="s">
        <v>20</v>
      </c>
      <c r="B24" s="73"/>
      <c r="C24" s="73"/>
      <c r="D24" s="26"/>
      <c r="E24" s="99"/>
      <c r="F24" s="34"/>
      <c r="G24" s="99"/>
      <c r="H24" s="34"/>
      <c r="I24" s="32"/>
      <c r="J24" s="32"/>
      <c r="K24" s="26"/>
      <c r="L24" s="26"/>
      <c r="M24" s="73"/>
      <c r="N24" s="73"/>
      <c r="O24" s="26"/>
      <c r="P24" s="34"/>
      <c r="Q24" s="34"/>
      <c r="R24" s="99"/>
      <c r="S24" s="34"/>
      <c r="T24" s="32"/>
      <c r="U24" s="32"/>
      <c r="V24" s="26"/>
      <c r="W24" s="26"/>
      <c r="X24" s="73" t="s">
        <v>302</v>
      </c>
      <c r="Y24" s="73" t="s">
        <v>302</v>
      </c>
      <c r="Z24" s="26"/>
      <c r="AA24" s="34"/>
      <c r="AB24" s="34"/>
      <c r="AC24" s="99"/>
      <c r="AD24" s="34"/>
      <c r="AE24" s="32"/>
      <c r="AF24" s="32"/>
      <c r="AG24" s="26"/>
      <c r="AH24" s="26"/>
      <c r="AI24" s="73" t="s">
        <v>302</v>
      </c>
      <c r="AJ24" s="73" t="s">
        <v>302</v>
      </c>
      <c r="AK24" s="26"/>
      <c r="AL24" s="34"/>
      <c r="AM24" s="34"/>
      <c r="AN24" s="99"/>
      <c r="AO24" s="34"/>
      <c r="AP24" s="32"/>
      <c r="AQ24" s="32"/>
      <c r="AR24" s="26"/>
      <c r="AS24" s="26"/>
      <c r="AT24" s="97" t="s">
        <v>302</v>
      </c>
      <c r="AU24" s="97" t="s">
        <v>302</v>
      </c>
      <c r="AV24" s="82"/>
      <c r="AW24" s="98"/>
      <c r="AX24" s="89"/>
      <c r="AY24" s="98"/>
      <c r="AZ24" s="89"/>
      <c r="BA24" s="97"/>
      <c r="BB24" s="97"/>
      <c r="BC24" s="82"/>
      <c r="BD24" s="155" t="str">
        <f t="shared" si="0"/>
        <v>OK</v>
      </c>
      <c r="BE24" s="16" t="s">
        <v>20</v>
      </c>
      <c r="BF24" s="330"/>
      <c r="BG24" s="332"/>
      <c r="BH24" s="330"/>
      <c r="BI24" s="332"/>
      <c r="BJ24" s="330"/>
      <c r="BK24" s="330"/>
      <c r="BL24" s="217"/>
    </row>
    <row r="25" spans="1:64" x14ac:dyDescent="0.35">
      <c r="A25" s="16" t="s">
        <v>27</v>
      </c>
      <c r="B25" s="73">
        <v>2</v>
      </c>
      <c r="C25" s="73">
        <v>1</v>
      </c>
      <c r="D25" s="26">
        <v>0.5</v>
      </c>
      <c r="E25" s="99">
        <v>5109</v>
      </c>
      <c r="F25" s="34">
        <v>357775.45999999996</v>
      </c>
      <c r="G25" s="99">
        <v>52</v>
      </c>
      <c r="H25" s="34">
        <v>4850</v>
      </c>
      <c r="I25" s="32">
        <v>3</v>
      </c>
      <c r="J25" s="32">
        <v>2</v>
      </c>
      <c r="K25" s="26" t="s">
        <v>182</v>
      </c>
      <c r="L25" s="26"/>
      <c r="M25" s="73">
        <v>2</v>
      </c>
      <c r="N25" s="73">
        <v>1</v>
      </c>
      <c r="O25" s="26">
        <v>0.5</v>
      </c>
      <c r="P25" s="34">
        <v>4493</v>
      </c>
      <c r="Q25" s="34">
        <v>349638.32999999996</v>
      </c>
      <c r="R25" s="99">
        <v>71</v>
      </c>
      <c r="S25" s="34">
        <v>5873.75</v>
      </c>
      <c r="T25" s="32">
        <v>3</v>
      </c>
      <c r="U25" s="32">
        <v>2</v>
      </c>
      <c r="V25" s="26">
        <v>0.66666666666666663</v>
      </c>
      <c r="W25" s="26"/>
      <c r="X25" s="73">
        <v>2</v>
      </c>
      <c r="Y25" s="73">
        <v>2</v>
      </c>
      <c r="Z25" s="26">
        <v>1</v>
      </c>
      <c r="AA25" s="34">
        <v>5479</v>
      </c>
      <c r="AB25" s="34">
        <v>364040.3</v>
      </c>
      <c r="AC25" s="99">
        <v>99</v>
      </c>
      <c r="AD25" s="34">
        <v>5544.98</v>
      </c>
      <c r="AE25" s="32">
        <v>3</v>
      </c>
      <c r="AF25" s="32">
        <v>1</v>
      </c>
      <c r="AG25" s="26">
        <v>0.33333333333333331</v>
      </c>
      <c r="AH25" s="26"/>
      <c r="AI25" s="73">
        <v>3</v>
      </c>
      <c r="AJ25" s="73">
        <v>2</v>
      </c>
      <c r="AK25" s="26">
        <v>0.66666666666666663</v>
      </c>
      <c r="AL25" s="34">
        <v>4350</v>
      </c>
      <c r="AM25" s="34">
        <v>314798.89</v>
      </c>
      <c r="AN25" s="99">
        <v>57</v>
      </c>
      <c r="AO25" s="34">
        <v>3936.5200000000004</v>
      </c>
      <c r="AP25" s="32">
        <v>1</v>
      </c>
      <c r="AQ25" s="32">
        <v>1</v>
      </c>
      <c r="AR25" s="26">
        <v>1</v>
      </c>
      <c r="AS25" s="26"/>
      <c r="AT25" s="97">
        <v>3</v>
      </c>
      <c r="AU25" s="97">
        <v>3</v>
      </c>
      <c r="AV25" s="82">
        <f t="shared" ref="AV25:AV37" si="3">AU25/AT25</f>
        <v>1</v>
      </c>
      <c r="AW25" s="98">
        <v>6943</v>
      </c>
      <c r="AX25" s="89">
        <v>493416.44999999995</v>
      </c>
      <c r="AY25" s="98">
        <v>161</v>
      </c>
      <c r="AZ25" s="89">
        <v>5900.52</v>
      </c>
      <c r="BA25" s="97">
        <v>3</v>
      </c>
      <c r="BB25" s="97">
        <v>3</v>
      </c>
      <c r="BC25" s="82">
        <f t="shared" ref="BC25:BC37" si="4">BB25/BA25</f>
        <v>1</v>
      </c>
      <c r="BD25" s="155" t="str">
        <f t="shared" si="0"/>
        <v>OK</v>
      </c>
      <c r="BE25" s="16" t="s">
        <v>27</v>
      </c>
      <c r="BF25" s="330">
        <v>6943</v>
      </c>
      <c r="BG25" s="332">
        <v>493416.44999999995</v>
      </c>
      <c r="BH25" s="330">
        <v>161</v>
      </c>
      <c r="BI25" s="332">
        <v>5900.52</v>
      </c>
      <c r="BJ25" s="330">
        <v>3</v>
      </c>
      <c r="BK25" s="330">
        <v>3</v>
      </c>
      <c r="BL25" s="217">
        <v>1</v>
      </c>
    </row>
    <row r="26" spans="1:64" x14ac:dyDescent="0.35">
      <c r="A26" s="16" t="s">
        <v>9</v>
      </c>
      <c r="B26" s="73">
        <v>6</v>
      </c>
      <c r="C26" s="73">
        <v>4</v>
      </c>
      <c r="D26" s="26">
        <v>0.66666666666666663</v>
      </c>
      <c r="E26" s="99">
        <v>6573</v>
      </c>
      <c r="F26" s="34">
        <v>743748.06</v>
      </c>
      <c r="G26" s="99">
        <v>8</v>
      </c>
      <c r="H26" s="34">
        <v>4035.8600000000006</v>
      </c>
      <c r="I26" s="32">
        <v>10</v>
      </c>
      <c r="J26" s="32">
        <v>2</v>
      </c>
      <c r="K26" s="26">
        <v>0.2</v>
      </c>
      <c r="L26" s="26"/>
      <c r="M26" s="73">
        <v>4</v>
      </c>
      <c r="N26" s="73">
        <v>1</v>
      </c>
      <c r="O26" s="26">
        <v>0.25</v>
      </c>
      <c r="P26" s="34">
        <v>7948</v>
      </c>
      <c r="Q26" s="34">
        <v>909156.15999999992</v>
      </c>
      <c r="R26" s="99">
        <v>17</v>
      </c>
      <c r="S26" s="34">
        <v>7182.1399999999994</v>
      </c>
      <c r="T26" s="32">
        <v>4</v>
      </c>
      <c r="U26" s="32">
        <v>4</v>
      </c>
      <c r="V26" s="26">
        <v>1</v>
      </c>
      <c r="W26" s="26"/>
      <c r="X26" s="73">
        <v>3</v>
      </c>
      <c r="Y26" s="73">
        <v>2</v>
      </c>
      <c r="Z26" s="26">
        <v>0.66666666666666663</v>
      </c>
      <c r="AA26" s="34">
        <v>8249</v>
      </c>
      <c r="AB26" s="34">
        <v>1157248.83</v>
      </c>
      <c r="AC26" s="99">
        <v>16</v>
      </c>
      <c r="AD26" s="34">
        <v>7849.8</v>
      </c>
      <c r="AE26" s="32">
        <v>4</v>
      </c>
      <c r="AF26" s="32">
        <v>4</v>
      </c>
      <c r="AG26" s="26">
        <v>1</v>
      </c>
      <c r="AH26" s="26"/>
      <c r="AI26" s="73">
        <v>3</v>
      </c>
      <c r="AJ26" s="73">
        <v>3</v>
      </c>
      <c r="AK26" s="26">
        <v>1</v>
      </c>
      <c r="AL26" s="34">
        <v>5973</v>
      </c>
      <c r="AM26" s="34">
        <v>773120.49</v>
      </c>
      <c r="AN26" s="99">
        <v>4</v>
      </c>
      <c r="AO26" s="34">
        <v>1971.19</v>
      </c>
      <c r="AP26" s="32">
        <v>7</v>
      </c>
      <c r="AQ26" s="32">
        <v>6</v>
      </c>
      <c r="AR26" s="26">
        <v>0.8571428571428571</v>
      </c>
      <c r="AS26" s="26"/>
      <c r="AT26" s="97">
        <v>3</v>
      </c>
      <c r="AU26" s="97">
        <v>2</v>
      </c>
      <c r="AV26" s="82">
        <f t="shared" si="3"/>
        <v>0.66666666666666663</v>
      </c>
      <c r="AW26" s="98">
        <v>951</v>
      </c>
      <c r="AX26" s="89">
        <v>39665.33</v>
      </c>
      <c r="AY26" s="98"/>
      <c r="AZ26" s="89"/>
      <c r="BA26" s="97">
        <v>7</v>
      </c>
      <c r="BB26" s="97">
        <v>6</v>
      </c>
      <c r="BC26" s="82">
        <f t="shared" si="4"/>
        <v>0.8571428571428571</v>
      </c>
      <c r="BD26" s="155" t="str">
        <f t="shared" si="0"/>
        <v>OK</v>
      </c>
      <c r="BE26" s="16" t="s">
        <v>9</v>
      </c>
      <c r="BF26" s="330">
        <v>951</v>
      </c>
      <c r="BG26" s="332">
        <v>39665.33</v>
      </c>
      <c r="BH26" s="330"/>
      <c r="BI26" s="332"/>
      <c r="BJ26" s="330">
        <v>7</v>
      </c>
      <c r="BK26" s="330">
        <v>6</v>
      </c>
      <c r="BL26" s="217">
        <v>0.8571428571428571</v>
      </c>
    </row>
    <row r="27" spans="1:64" x14ac:dyDescent="0.35">
      <c r="A27" s="16" t="s">
        <v>342</v>
      </c>
      <c r="B27" s="73">
        <v>11</v>
      </c>
      <c r="C27" s="73">
        <v>11</v>
      </c>
      <c r="D27" s="26">
        <v>1</v>
      </c>
      <c r="E27" s="99">
        <v>6008</v>
      </c>
      <c r="F27" s="34">
        <v>3084793.48</v>
      </c>
      <c r="G27" s="99">
        <v>325</v>
      </c>
      <c r="H27" s="34">
        <v>128165.02</v>
      </c>
      <c r="I27" s="32">
        <v>29</v>
      </c>
      <c r="J27" s="32">
        <v>24</v>
      </c>
      <c r="K27" s="26">
        <v>0.82758620689655171</v>
      </c>
      <c r="L27" s="26"/>
      <c r="M27" s="73">
        <v>10</v>
      </c>
      <c r="N27" s="73">
        <v>9</v>
      </c>
      <c r="O27" s="26">
        <v>0.9</v>
      </c>
      <c r="P27" s="34">
        <v>5573</v>
      </c>
      <c r="Q27" s="34">
        <v>2237373.91</v>
      </c>
      <c r="R27" s="99">
        <v>411</v>
      </c>
      <c r="S27" s="34">
        <v>110628.01000000001</v>
      </c>
      <c r="T27" s="32">
        <v>31</v>
      </c>
      <c r="U27" s="32">
        <v>31</v>
      </c>
      <c r="V27" s="26">
        <v>1</v>
      </c>
      <c r="W27" s="26"/>
      <c r="X27" s="73">
        <v>8</v>
      </c>
      <c r="Y27" s="73">
        <v>8</v>
      </c>
      <c r="Z27" s="26">
        <v>1</v>
      </c>
      <c r="AA27" s="34">
        <v>5047</v>
      </c>
      <c r="AB27" s="34">
        <v>3355326.74</v>
      </c>
      <c r="AC27" s="99">
        <v>234</v>
      </c>
      <c r="AD27" s="34">
        <v>119232.5</v>
      </c>
      <c r="AE27" s="32">
        <v>26</v>
      </c>
      <c r="AF27" s="32">
        <v>24</v>
      </c>
      <c r="AG27" s="26">
        <v>0.92307692307692313</v>
      </c>
      <c r="AH27" s="26"/>
      <c r="AI27" s="73">
        <v>8</v>
      </c>
      <c r="AJ27" s="73">
        <v>8</v>
      </c>
      <c r="AK27" s="26">
        <v>1</v>
      </c>
      <c r="AL27" s="34">
        <v>3840</v>
      </c>
      <c r="AM27" s="34">
        <v>2157355.77</v>
      </c>
      <c r="AN27" s="99">
        <v>438</v>
      </c>
      <c r="AO27" s="34">
        <v>208106.95</v>
      </c>
      <c r="AP27" s="32">
        <v>19</v>
      </c>
      <c r="AQ27" s="32">
        <v>19</v>
      </c>
      <c r="AR27" s="26">
        <v>1</v>
      </c>
      <c r="AS27" s="26"/>
      <c r="AT27" s="97">
        <v>8</v>
      </c>
      <c r="AU27" s="97">
        <v>8</v>
      </c>
      <c r="AV27" s="82">
        <f t="shared" si="3"/>
        <v>1</v>
      </c>
      <c r="AW27" s="98">
        <v>2001</v>
      </c>
      <c r="AX27" s="89">
        <v>1046801.94</v>
      </c>
      <c r="AY27" s="98">
        <v>118</v>
      </c>
      <c r="AZ27" s="89">
        <v>113421.39</v>
      </c>
      <c r="BA27" s="97">
        <v>21</v>
      </c>
      <c r="BB27" s="97">
        <v>21</v>
      </c>
      <c r="BC27" s="82">
        <f t="shared" si="4"/>
        <v>1</v>
      </c>
      <c r="BD27" s="155" t="str">
        <f t="shared" si="0"/>
        <v>OK</v>
      </c>
      <c r="BE27" s="16" t="s">
        <v>342</v>
      </c>
      <c r="BF27" s="330">
        <v>2001</v>
      </c>
      <c r="BG27" s="332">
        <v>1046801.94</v>
      </c>
      <c r="BH27" s="330">
        <v>118</v>
      </c>
      <c r="BI27" s="332">
        <v>113421.39</v>
      </c>
      <c r="BJ27" s="330">
        <v>21</v>
      </c>
      <c r="BK27" s="330">
        <v>21</v>
      </c>
      <c r="BL27" s="217">
        <v>1</v>
      </c>
    </row>
    <row r="28" spans="1:64" x14ac:dyDescent="0.35">
      <c r="A28" s="16" t="s">
        <v>178</v>
      </c>
      <c r="B28" s="73">
        <v>4</v>
      </c>
      <c r="C28" s="73">
        <v>4</v>
      </c>
      <c r="D28" s="26">
        <v>1</v>
      </c>
      <c r="E28" s="99">
        <v>1076</v>
      </c>
      <c r="F28" s="34">
        <v>89664.72</v>
      </c>
      <c r="G28" s="99">
        <v>86</v>
      </c>
      <c r="H28" s="34">
        <v>7271.98</v>
      </c>
      <c r="I28" s="32">
        <v>2</v>
      </c>
      <c r="J28" s="32">
        <v>1</v>
      </c>
      <c r="K28" s="26">
        <v>0.5</v>
      </c>
      <c r="L28" s="26"/>
      <c r="M28" s="73">
        <v>4</v>
      </c>
      <c r="N28" s="73">
        <v>4</v>
      </c>
      <c r="O28" s="26">
        <v>1</v>
      </c>
      <c r="P28" s="34">
        <v>987</v>
      </c>
      <c r="Q28" s="34">
        <v>146036.88</v>
      </c>
      <c r="R28" s="99">
        <v>111</v>
      </c>
      <c r="S28" s="34">
        <v>10710</v>
      </c>
      <c r="T28" s="32">
        <v>2</v>
      </c>
      <c r="U28" s="32">
        <v>1</v>
      </c>
      <c r="V28" s="26">
        <v>0.5</v>
      </c>
      <c r="W28" s="26"/>
      <c r="X28" s="73">
        <v>5</v>
      </c>
      <c r="Y28" s="73">
        <v>5</v>
      </c>
      <c r="Z28" s="26">
        <v>1</v>
      </c>
      <c r="AA28" s="34">
        <v>1391</v>
      </c>
      <c r="AB28" s="34">
        <v>225317.15</v>
      </c>
      <c r="AC28" s="99">
        <v>99</v>
      </c>
      <c r="AD28" s="34">
        <v>8690.9500000000007</v>
      </c>
      <c r="AE28" s="32">
        <v>4</v>
      </c>
      <c r="AF28" s="32">
        <v>3</v>
      </c>
      <c r="AG28" s="26">
        <v>0.75</v>
      </c>
      <c r="AH28" s="26"/>
      <c r="AI28" s="73">
        <v>5</v>
      </c>
      <c r="AJ28" s="73">
        <v>5</v>
      </c>
      <c r="AK28" s="26">
        <v>1</v>
      </c>
      <c r="AL28" s="34">
        <v>337</v>
      </c>
      <c r="AM28" s="34">
        <v>13760.75</v>
      </c>
      <c r="AN28" s="99">
        <v>45</v>
      </c>
      <c r="AO28" s="34">
        <v>2762.25</v>
      </c>
      <c r="AP28" s="32">
        <v>4</v>
      </c>
      <c r="AQ28" s="32">
        <v>3</v>
      </c>
      <c r="AR28" s="26">
        <v>0.75</v>
      </c>
      <c r="AS28" s="26"/>
      <c r="AT28" s="97">
        <v>5</v>
      </c>
      <c r="AU28" s="97">
        <v>5</v>
      </c>
      <c r="AV28" s="82">
        <f t="shared" si="3"/>
        <v>1</v>
      </c>
      <c r="AW28" s="98">
        <v>106</v>
      </c>
      <c r="AX28" s="89">
        <v>2422.9700000000003</v>
      </c>
      <c r="AY28" s="98">
        <v>2</v>
      </c>
      <c r="AZ28" s="89">
        <v>18</v>
      </c>
      <c r="BA28" s="97">
        <v>3</v>
      </c>
      <c r="BB28" s="97">
        <v>2</v>
      </c>
      <c r="BC28" s="82">
        <f t="shared" si="4"/>
        <v>0.66666666666666663</v>
      </c>
      <c r="BD28" s="155" t="str">
        <f t="shared" si="0"/>
        <v>OK</v>
      </c>
      <c r="BE28" s="16" t="s">
        <v>178</v>
      </c>
      <c r="BF28" s="330">
        <v>106</v>
      </c>
      <c r="BG28" s="332">
        <v>2422.9700000000003</v>
      </c>
      <c r="BH28" s="330">
        <v>2</v>
      </c>
      <c r="BI28" s="332">
        <v>18</v>
      </c>
      <c r="BJ28" s="330">
        <v>3</v>
      </c>
      <c r="BK28" s="330">
        <v>2</v>
      </c>
      <c r="BL28" s="217">
        <v>0.66666666666666663</v>
      </c>
    </row>
    <row r="29" spans="1:64" x14ac:dyDescent="0.35">
      <c r="A29" s="16" t="s">
        <v>10</v>
      </c>
      <c r="B29" s="73">
        <v>21</v>
      </c>
      <c r="C29" s="73">
        <v>12</v>
      </c>
      <c r="D29" s="26">
        <v>0.5714285714285714</v>
      </c>
      <c r="E29" s="99">
        <v>45481</v>
      </c>
      <c r="F29" s="34">
        <v>8893953.8100000005</v>
      </c>
      <c r="G29" s="99">
        <v>476</v>
      </c>
      <c r="H29" s="34">
        <v>201449.68000000002</v>
      </c>
      <c r="I29" s="32">
        <v>48</v>
      </c>
      <c r="J29" s="32">
        <v>39</v>
      </c>
      <c r="K29" s="26">
        <v>0.8125</v>
      </c>
      <c r="L29" s="26"/>
      <c r="M29" s="73">
        <v>26</v>
      </c>
      <c r="N29" s="73">
        <v>25</v>
      </c>
      <c r="O29" s="26">
        <v>0.96153846153846156</v>
      </c>
      <c r="P29" s="34">
        <v>45119</v>
      </c>
      <c r="Q29" s="34">
        <v>9418115.8600000013</v>
      </c>
      <c r="R29" s="99">
        <v>435</v>
      </c>
      <c r="S29" s="34">
        <v>201855.88999999998</v>
      </c>
      <c r="T29" s="32">
        <v>49</v>
      </c>
      <c r="U29" s="32">
        <v>36</v>
      </c>
      <c r="V29" s="26">
        <v>0.73469387755102045</v>
      </c>
      <c r="W29" s="26"/>
      <c r="X29" s="73">
        <v>26</v>
      </c>
      <c r="Y29" s="73">
        <v>25</v>
      </c>
      <c r="Z29" s="26">
        <v>0.96153846153846156</v>
      </c>
      <c r="AA29" s="34">
        <v>44713</v>
      </c>
      <c r="AB29" s="34">
        <v>9262017.6899999995</v>
      </c>
      <c r="AC29" s="99">
        <v>192</v>
      </c>
      <c r="AD29" s="34">
        <v>82130.98</v>
      </c>
      <c r="AE29" s="32">
        <v>53</v>
      </c>
      <c r="AF29" s="32">
        <v>43</v>
      </c>
      <c r="AG29" s="26">
        <v>0.81132075471698117</v>
      </c>
      <c r="AH29" s="26"/>
      <c r="AI29" s="73">
        <v>27</v>
      </c>
      <c r="AJ29" s="73">
        <v>21</v>
      </c>
      <c r="AK29" s="26">
        <v>0.77777777777777779</v>
      </c>
      <c r="AL29" s="34">
        <v>35308</v>
      </c>
      <c r="AM29" s="34">
        <v>7370629.379999999</v>
      </c>
      <c r="AN29" s="99">
        <v>921</v>
      </c>
      <c r="AO29" s="34">
        <v>267769.18</v>
      </c>
      <c r="AP29" s="32">
        <v>53</v>
      </c>
      <c r="AQ29" s="32">
        <v>47</v>
      </c>
      <c r="AR29" s="26">
        <v>0.8867924528301887</v>
      </c>
      <c r="AS29" s="26"/>
      <c r="AT29" s="97">
        <v>29</v>
      </c>
      <c r="AU29" s="97">
        <v>17</v>
      </c>
      <c r="AV29" s="82">
        <f t="shared" si="3"/>
        <v>0.58620689655172409</v>
      </c>
      <c r="AW29" s="98">
        <v>31668</v>
      </c>
      <c r="AX29" s="89">
        <v>7840553.29</v>
      </c>
      <c r="AY29" s="98">
        <v>295</v>
      </c>
      <c r="AZ29" s="89">
        <v>141072.55000000002</v>
      </c>
      <c r="BA29" s="97">
        <v>48</v>
      </c>
      <c r="BB29" s="97">
        <v>48</v>
      </c>
      <c r="BC29" s="82">
        <f t="shared" si="4"/>
        <v>1</v>
      </c>
      <c r="BD29" s="155" t="str">
        <f t="shared" si="0"/>
        <v>OK</v>
      </c>
      <c r="BE29" s="16" t="s">
        <v>10</v>
      </c>
      <c r="BF29" s="330">
        <v>31668</v>
      </c>
      <c r="BG29" s="332">
        <v>7840553.29</v>
      </c>
      <c r="BH29" s="330">
        <v>295</v>
      </c>
      <c r="BI29" s="332">
        <v>141072.55000000002</v>
      </c>
      <c r="BJ29" s="330">
        <v>48</v>
      </c>
      <c r="BK29" s="330">
        <v>48</v>
      </c>
      <c r="BL29" s="217">
        <v>1</v>
      </c>
    </row>
    <row r="30" spans="1:64" x14ac:dyDescent="0.35">
      <c r="A30" s="16" t="s">
        <v>11</v>
      </c>
      <c r="B30" s="73">
        <v>2</v>
      </c>
      <c r="C30" s="73">
        <v>2</v>
      </c>
      <c r="D30" s="26">
        <v>1</v>
      </c>
      <c r="E30" s="99">
        <v>90</v>
      </c>
      <c r="F30" s="34">
        <v>16910.2</v>
      </c>
      <c r="G30" s="99">
        <v>2</v>
      </c>
      <c r="H30" s="34">
        <v>60.1</v>
      </c>
      <c r="I30" s="32">
        <v>2</v>
      </c>
      <c r="J30" s="32">
        <v>2</v>
      </c>
      <c r="K30" s="26">
        <v>1</v>
      </c>
      <c r="L30" s="26"/>
      <c r="M30" s="73">
        <v>3</v>
      </c>
      <c r="N30" s="73">
        <v>2</v>
      </c>
      <c r="O30" s="26">
        <v>0.66666666666666663</v>
      </c>
      <c r="P30" s="34">
        <v>290</v>
      </c>
      <c r="Q30" s="34">
        <v>37278.229999999996</v>
      </c>
      <c r="R30" s="99">
        <v>8</v>
      </c>
      <c r="S30" s="34">
        <v>1495.15</v>
      </c>
      <c r="T30" s="32">
        <v>2</v>
      </c>
      <c r="U30" s="32">
        <v>1</v>
      </c>
      <c r="V30" s="26">
        <v>0.5</v>
      </c>
      <c r="W30" s="26"/>
      <c r="X30" s="73">
        <v>3</v>
      </c>
      <c r="Y30" s="73">
        <v>3</v>
      </c>
      <c r="Z30" s="26">
        <v>1</v>
      </c>
      <c r="AA30" s="34">
        <v>252</v>
      </c>
      <c r="AB30" s="34">
        <v>55780.49</v>
      </c>
      <c r="AC30" s="99">
        <v>8</v>
      </c>
      <c r="AD30" s="34">
        <v>2400</v>
      </c>
      <c r="AE30" s="32">
        <v>2</v>
      </c>
      <c r="AF30" s="32">
        <v>2</v>
      </c>
      <c r="AG30" s="26">
        <v>1</v>
      </c>
      <c r="AH30" s="26"/>
      <c r="AI30" s="73">
        <v>3</v>
      </c>
      <c r="AJ30" s="73">
        <v>3</v>
      </c>
      <c r="AK30" s="26">
        <v>1</v>
      </c>
      <c r="AL30" s="34">
        <v>419</v>
      </c>
      <c r="AM30" s="34">
        <v>71134.98</v>
      </c>
      <c r="AN30" s="99">
        <v>30</v>
      </c>
      <c r="AO30" s="34">
        <v>12500</v>
      </c>
      <c r="AP30" s="32">
        <v>3</v>
      </c>
      <c r="AQ30" s="32">
        <v>3</v>
      </c>
      <c r="AR30" s="26">
        <v>1</v>
      </c>
      <c r="AS30" s="26"/>
      <c r="AT30" s="97">
        <v>5</v>
      </c>
      <c r="AU30" s="97">
        <v>5</v>
      </c>
      <c r="AV30" s="82">
        <f t="shared" si="3"/>
        <v>1</v>
      </c>
      <c r="AW30" s="98">
        <v>339</v>
      </c>
      <c r="AX30" s="89">
        <v>35971</v>
      </c>
      <c r="AY30" s="98">
        <v>8</v>
      </c>
      <c r="AZ30" s="89">
        <v>1335</v>
      </c>
      <c r="BA30" s="97">
        <v>4</v>
      </c>
      <c r="BB30" s="97">
        <v>4</v>
      </c>
      <c r="BC30" s="82">
        <f t="shared" si="4"/>
        <v>1</v>
      </c>
      <c r="BD30" s="155" t="str">
        <f t="shared" si="0"/>
        <v>OK</v>
      </c>
      <c r="BE30" s="16" t="s">
        <v>11</v>
      </c>
      <c r="BF30" s="330">
        <v>339</v>
      </c>
      <c r="BG30" s="332">
        <v>35971</v>
      </c>
      <c r="BH30" s="330">
        <v>8</v>
      </c>
      <c r="BI30" s="332">
        <v>1335</v>
      </c>
      <c r="BJ30" s="330">
        <v>4</v>
      </c>
      <c r="BK30" s="330">
        <v>4</v>
      </c>
      <c r="BL30" s="217">
        <v>1</v>
      </c>
    </row>
    <row r="31" spans="1:64" x14ac:dyDescent="0.35">
      <c r="A31" s="16" t="s">
        <v>12</v>
      </c>
      <c r="B31" s="73">
        <v>4</v>
      </c>
      <c r="C31" s="73">
        <v>4</v>
      </c>
      <c r="D31" s="26">
        <v>1</v>
      </c>
      <c r="E31" s="99">
        <v>175</v>
      </c>
      <c r="F31" s="34">
        <v>23537.68</v>
      </c>
      <c r="G31" s="99">
        <v>8</v>
      </c>
      <c r="H31" s="34">
        <v>1765</v>
      </c>
      <c r="I31" s="32">
        <v>1</v>
      </c>
      <c r="J31" s="32">
        <v>1</v>
      </c>
      <c r="K31" s="26">
        <v>1</v>
      </c>
      <c r="L31" s="26"/>
      <c r="M31" s="73">
        <v>3</v>
      </c>
      <c r="N31" s="73">
        <v>3</v>
      </c>
      <c r="O31" s="26">
        <v>1</v>
      </c>
      <c r="P31" s="34">
        <v>226</v>
      </c>
      <c r="Q31" s="34">
        <v>42571.270000000004</v>
      </c>
      <c r="R31" s="99">
        <v>18</v>
      </c>
      <c r="S31" s="34">
        <v>4031.5</v>
      </c>
      <c r="T31" s="32">
        <v>1</v>
      </c>
      <c r="U31" s="32">
        <v>1</v>
      </c>
      <c r="V31" s="26">
        <v>1</v>
      </c>
      <c r="W31" s="26"/>
      <c r="X31" s="73">
        <v>3</v>
      </c>
      <c r="Y31" s="73">
        <v>3</v>
      </c>
      <c r="Z31" s="26">
        <v>1</v>
      </c>
      <c r="AA31" s="34">
        <v>225</v>
      </c>
      <c r="AB31" s="34">
        <v>34371.96</v>
      </c>
      <c r="AC31" s="99">
        <v>34</v>
      </c>
      <c r="AD31" s="34">
        <v>8376.99</v>
      </c>
      <c r="AE31" s="32">
        <v>1</v>
      </c>
      <c r="AF31" s="32">
        <v>1</v>
      </c>
      <c r="AG31" s="26">
        <v>1</v>
      </c>
      <c r="AH31" s="26"/>
      <c r="AI31" s="73">
        <v>3</v>
      </c>
      <c r="AJ31" s="73">
        <v>3</v>
      </c>
      <c r="AK31" s="26">
        <v>1</v>
      </c>
      <c r="AL31" s="34"/>
      <c r="AM31" s="34"/>
      <c r="AN31" s="99"/>
      <c r="AO31" s="34"/>
      <c r="AP31" s="32">
        <v>1</v>
      </c>
      <c r="AQ31" s="32">
        <v>1</v>
      </c>
      <c r="AR31" s="26">
        <v>1</v>
      </c>
      <c r="AS31" s="26"/>
      <c r="AT31" s="97">
        <v>3</v>
      </c>
      <c r="AU31" s="97">
        <v>3</v>
      </c>
      <c r="AV31" s="82">
        <f t="shared" si="3"/>
        <v>1</v>
      </c>
      <c r="AW31" s="98">
        <v>305</v>
      </c>
      <c r="AX31" s="89">
        <v>4613</v>
      </c>
      <c r="AY31" s="98"/>
      <c r="AZ31" s="89"/>
      <c r="BA31" s="97">
        <v>1</v>
      </c>
      <c r="BB31" s="97">
        <v>1</v>
      </c>
      <c r="BC31" s="82">
        <f t="shared" si="4"/>
        <v>1</v>
      </c>
      <c r="BD31" s="155" t="str">
        <f t="shared" si="0"/>
        <v>OK</v>
      </c>
      <c r="BE31" s="16" t="s">
        <v>12</v>
      </c>
      <c r="BF31" s="330">
        <v>305</v>
      </c>
      <c r="BG31" s="332">
        <v>4613</v>
      </c>
      <c r="BH31" s="330"/>
      <c r="BI31" s="332"/>
      <c r="BJ31" s="330">
        <v>1</v>
      </c>
      <c r="BK31" s="330">
        <v>1</v>
      </c>
      <c r="BL31" s="217">
        <v>1</v>
      </c>
    </row>
    <row r="32" spans="1:64" x14ac:dyDescent="0.35">
      <c r="A32" s="16" t="s">
        <v>13</v>
      </c>
      <c r="B32" s="73">
        <v>2</v>
      </c>
      <c r="C32" s="73">
        <v>2</v>
      </c>
      <c r="D32" s="26">
        <v>1</v>
      </c>
      <c r="E32" s="99">
        <v>1445</v>
      </c>
      <c r="F32" s="34">
        <v>111471</v>
      </c>
      <c r="G32" s="99">
        <v>151</v>
      </c>
      <c r="H32" s="34">
        <v>15625</v>
      </c>
      <c r="I32" s="32">
        <v>1</v>
      </c>
      <c r="J32" s="32">
        <v>1</v>
      </c>
      <c r="K32" s="26">
        <v>1</v>
      </c>
      <c r="L32" s="26"/>
      <c r="M32" s="73">
        <v>3</v>
      </c>
      <c r="N32" s="73">
        <v>3</v>
      </c>
      <c r="O32" s="26">
        <v>1</v>
      </c>
      <c r="P32" s="34">
        <v>1586</v>
      </c>
      <c r="Q32" s="34">
        <v>129021</v>
      </c>
      <c r="R32" s="99">
        <v>172</v>
      </c>
      <c r="S32" s="34">
        <v>16645</v>
      </c>
      <c r="T32" s="32">
        <v>1</v>
      </c>
      <c r="U32" s="32">
        <v>1</v>
      </c>
      <c r="V32" s="26">
        <v>1</v>
      </c>
      <c r="W32" s="26"/>
      <c r="X32" s="73">
        <v>3</v>
      </c>
      <c r="Y32" s="73">
        <v>3</v>
      </c>
      <c r="Z32" s="26">
        <v>1</v>
      </c>
      <c r="AA32" s="34">
        <v>1556</v>
      </c>
      <c r="AB32" s="34">
        <v>146262.48000000001</v>
      </c>
      <c r="AC32" s="99">
        <v>132</v>
      </c>
      <c r="AD32" s="34">
        <v>15387.52</v>
      </c>
      <c r="AE32" s="32">
        <v>1</v>
      </c>
      <c r="AF32" s="32">
        <v>1</v>
      </c>
      <c r="AG32" s="26">
        <v>1</v>
      </c>
      <c r="AH32" s="26"/>
      <c r="AI32" s="73">
        <v>2</v>
      </c>
      <c r="AJ32" s="73">
        <v>2</v>
      </c>
      <c r="AK32" s="26">
        <v>1</v>
      </c>
      <c r="AL32" s="34">
        <v>1656</v>
      </c>
      <c r="AM32" s="34">
        <v>129572.43</v>
      </c>
      <c r="AN32" s="99">
        <v>559</v>
      </c>
      <c r="AO32" s="34">
        <v>55089.61</v>
      </c>
      <c r="AP32" s="32">
        <v>1</v>
      </c>
      <c r="AQ32" s="32">
        <v>1</v>
      </c>
      <c r="AR32" s="26">
        <v>1</v>
      </c>
      <c r="AS32" s="26"/>
      <c r="AT32" s="97">
        <v>3</v>
      </c>
      <c r="AU32" s="97">
        <v>3</v>
      </c>
      <c r="AV32" s="82">
        <f t="shared" si="3"/>
        <v>1</v>
      </c>
      <c r="AW32" s="98">
        <v>898</v>
      </c>
      <c r="AX32" s="89">
        <v>48310.6</v>
      </c>
      <c r="AY32" s="98">
        <v>135</v>
      </c>
      <c r="AZ32" s="89">
        <v>7947.6799999999994</v>
      </c>
      <c r="BA32" s="97">
        <v>2</v>
      </c>
      <c r="BB32" s="97">
        <v>2</v>
      </c>
      <c r="BC32" s="82">
        <f t="shared" si="4"/>
        <v>1</v>
      </c>
      <c r="BD32" s="155" t="str">
        <f t="shared" si="0"/>
        <v>OK</v>
      </c>
      <c r="BE32" s="16" t="s">
        <v>13</v>
      </c>
      <c r="BF32" s="330">
        <v>898</v>
      </c>
      <c r="BG32" s="332">
        <v>48310.6</v>
      </c>
      <c r="BH32" s="330">
        <v>135</v>
      </c>
      <c r="BI32" s="332">
        <v>7947.6799999999994</v>
      </c>
      <c r="BJ32" s="330">
        <v>2</v>
      </c>
      <c r="BK32" s="330">
        <v>2</v>
      </c>
      <c r="BL32" s="217">
        <v>1</v>
      </c>
    </row>
    <row r="33" spans="1:64" x14ac:dyDescent="0.35">
      <c r="A33" s="16" t="s">
        <v>343</v>
      </c>
      <c r="B33" s="73">
        <v>8</v>
      </c>
      <c r="C33" s="73">
        <v>8</v>
      </c>
      <c r="D33" s="26">
        <v>1</v>
      </c>
      <c r="E33" s="99">
        <v>5177</v>
      </c>
      <c r="F33" s="34">
        <v>1062448.97</v>
      </c>
      <c r="G33" s="99">
        <v>11</v>
      </c>
      <c r="H33" s="34">
        <v>2000.94</v>
      </c>
      <c r="I33" s="32">
        <v>11</v>
      </c>
      <c r="J33" s="32">
        <v>3</v>
      </c>
      <c r="K33" s="26">
        <v>0.27272727272727271</v>
      </c>
      <c r="L33" s="26"/>
      <c r="M33" s="73">
        <v>9</v>
      </c>
      <c r="N33" s="73">
        <v>8</v>
      </c>
      <c r="O33" s="26">
        <v>0.88888888888888884</v>
      </c>
      <c r="P33" s="34">
        <v>7214</v>
      </c>
      <c r="Q33" s="34">
        <v>1195281.6599999999</v>
      </c>
      <c r="R33" s="99">
        <v>40</v>
      </c>
      <c r="S33" s="34">
        <v>8691.43</v>
      </c>
      <c r="T33" s="32">
        <v>11</v>
      </c>
      <c r="U33" s="32">
        <v>2</v>
      </c>
      <c r="V33" s="26">
        <v>0.18181818181818182</v>
      </c>
      <c r="W33" s="26"/>
      <c r="X33" s="73">
        <v>12</v>
      </c>
      <c r="Y33" s="73">
        <v>10</v>
      </c>
      <c r="Z33" s="26">
        <v>0.83333333333333337</v>
      </c>
      <c r="AA33" s="34">
        <v>7001</v>
      </c>
      <c r="AB33" s="34">
        <v>1348167.3499999999</v>
      </c>
      <c r="AC33" s="99">
        <v>66</v>
      </c>
      <c r="AD33" s="34">
        <v>22408.080000000002</v>
      </c>
      <c r="AE33" s="32">
        <v>9</v>
      </c>
      <c r="AF33" s="32">
        <v>3</v>
      </c>
      <c r="AG33" s="26">
        <v>0.33333333333333331</v>
      </c>
      <c r="AH33" s="26"/>
      <c r="AI33" s="73">
        <v>12</v>
      </c>
      <c r="AJ33" s="73">
        <v>12</v>
      </c>
      <c r="AK33" s="26">
        <v>1</v>
      </c>
      <c r="AL33" s="34">
        <v>5826</v>
      </c>
      <c r="AM33" s="34">
        <v>763302.6</v>
      </c>
      <c r="AN33" s="99">
        <v>6</v>
      </c>
      <c r="AO33" s="34">
        <v>2392.7799999999997</v>
      </c>
      <c r="AP33" s="32">
        <v>9</v>
      </c>
      <c r="AQ33" s="32">
        <v>3</v>
      </c>
      <c r="AR33" s="26">
        <v>0.33333333333333331</v>
      </c>
      <c r="AS33" s="26"/>
      <c r="AT33" s="97">
        <v>12</v>
      </c>
      <c r="AU33" s="97">
        <v>12</v>
      </c>
      <c r="AV33" s="82">
        <f t="shared" si="3"/>
        <v>1</v>
      </c>
      <c r="AW33" s="98">
        <v>5392</v>
      </c>
      <c r="AX33" s="89">
        <v>814313.5</v>
      </c>
      <c r="AY33" s="98">
        <v>34</v>
      </c>
      <c r="AZ33" s="89">
        <v>5306</v>
      </c>
      <c r="BA33" s="97">
        <v>1</v>
      </c>
      <c r="BB33" s="97">
        <v>1</v>
      </c>
      <c r="BC33" s="82">
        <f t="shared" si="4"/>
        <v>1</v>
      </c>
      <c r="BD33" s="155" t="str">
        <f t="shared" si="0"/>
        <v>OK</v>
      </c>
      <c r="BE33" s="16" t="s">
        <v>343</v>
      </c>
      <c r="BF33" s="330">
        <v>5392</v>
      </c>
      <c r="BG33" s="332">
        <v>814313.5</v>
      </c>
      <c r="BH33" s="330">
        <v>34</v>
      </c>
      <c r="BI33" s="332">
        <v>5306</v>
      </c>
      <c r="BJ33" s="330">
        <v>1</v>
      </c>
      <c r="BK33" s="330">
        <v>1</v>
      </c>
      <c r="BL33" s="217">
        <v>1</v>
      </c>
    </row>
    <row r="34" spans="1:64" x14ac:dyDescent="0.35">
      <c r="A34" s="16" t="s">
        <v>14</v>
      </c>
      <c r="B34" s="73">
        <v>2</v>
      </c>
      <c r="C34" s="73">
        <v>2</v>
      </c>
      <c r="D34" s="26">
        <v>1</v>
      </c>
      <c r="E34" s="99">
        <v>291</v>
      </c>
      <c r="F34" s="34">
        <v>19233.059999999998</v>
      </c>
      <c r="G34" s="99">
        <v>7</v>
      </c>
      <c r="H34" s="34">
        <v>174.2</v>
      </c>
      <c r="I34" s="32">
        <v>2</v>
      </c>
      <c r="J34" s="32">
        <v>1</v>
      </c>
      <c r="K34" s="26">
        <v>0.5</v>
      </c>
      <c r="L34" s="26"/>
      <c r="M34" s="73">
        <v>3</v>
      </c>
      <c r="N34" s="73">
        <v>3</v>
      </c>
      <c r="O34" s="26">
        <v>1</v>
      </c>
      <c r="P34" s="34">
        <v>407</v>
      </c>
      <c r="Q34" s="34">
        <v>70823.820000000007</v>
      </c>
      <c r="R34" s="99">
        <v>6</v>
      </c>
      <c r="S34" s="34">
        <v>580</v>
      </c>
      <c r="T34" s="32">
        <v>2</v>
      </c>
      <c r="U34" s="32">
        <v>2</v>
      </c>
      <c r="V34" s="26">
        <v>1</v>
      </c>
      <c r="W34" s="26"/>
      <c r="X34" s="73">
        <v>3</v>
      </c>
      <c r="Y34" s="73">
        <v>3</v>
      </c>
      <c r="Z34" s="26">
        <v>1</v>
      </c>
      <c r="AA34" s="34">
        <v>57</v>
      </c>
      <c r="AB34" s="34">
        <v>25247.32</v>
      </c>
      <c r="AC34" s="99">
        <v>7</v>
      </c>
      <c r="AD34" s="34">
        <v>2800</v>
      </c>
      <c r="AE34" s="32">
        <v>1</v>
      </c>
      <c r="AF34" s="32">
        <v>1</v>
      </c>
      <c r="AG34" s="26">
        <v>1</v>
      </c>
      <c r="AH34" s="26"/>
      <c r="AI34" s="73">
        <v>2</v>
      </c>
      <c r="AJ34" s="73">
        <v>2</v>
      </c>
      <c r="AK34" s="26">
        <v>1</v>
      </c>
      <c r="AL34" s="34">
        <v>29</v>
      </c>
      <c r="AM34" s="34">
        <v>4808.41</v>
      </c>
      <c r="AN34" s="99">
        <v>14</v>
      </c>
      <c r="AO34" s="34">
        <v>3308.41</v>
      </c>
      <c r="AP34" s="32">
        <v>2</v>
      </c>
      <c r="AQ34" s="32">
        <v>2</v>
      </c>
      <c r="AR34" s="26">
        <v>1</v>
      </c>
      <c r="AS34" s="26"/>
      <c r="AT34" s="97">
        <v>2</v>
      </c>
      <c r="AU34" s="97">
        <v>2</v>
      </c>
      <c r="AV34" s="82">
        <f t="shared" si="3"/>
        <v>1</v>
      </c>
      <c r="AW34" s="98">
        <v>107</v>
      </c>
      <c r="AX34" s="89">
        <v>3885</v>
      </c>
      <c r="AY34" s="98">
        <v>10</v>
      </c>
      <c r="AZ34" s="89">
        <v>260</v>
      </c>
      <c r="BA34" s="97">
        <v>2</v>
      </c>
      <c r="BB34" s="97">
        <v>2</v>
      </c>
      <c r="BC34" s="82">
        <f t="shared" si="4"/>
        <v>1</v>
      </c>
      <c r="BD34" s="155" t="str">
        <f t="shared" si="0"/>
        <v>OK</v>
      </c>
      <c r="BE34" s="16" t="s">
        <v>14</v>
      </c>
      <c r="BF34" s="330">
        <v>107</v>
      </c>
      <c r="BG34" s="332">
        <v>3885</v>
      </c>
      <c r="BH34" s="330">
        <v>10</v>
      </c>
      <c r="BI34" s="332">
        <v>260</v>
      </c>
      <c r="BJ34" s="330">
        <v>2</v>
      </c>
      <c r="BK34" s="330">
        <v>2</v>
      </c>
      <c r="BL34" s="217">
        <v>1</v>
      </c>
    </row>
    <row r="35" spans="1:64" x14ac:dyDescent="0.35">
      <c r="A35" s="16" t="s">
        <v>15</v>
      </c>
      <c r="B35" s="73">
        <v>7</v>
      </c>
      <c r="C35" s="73">
        <v>5</v>
      </c>
      <c r="D35" s="26">
        <v>0.7142857142857143</v>
      </c>
      <c r="E35" s="99">
        <v>1384</v>
      </c>
      <c r="F35" s="34">
        <v>217101.40000000002</v>
      </c>
      <c r="G35" s="99">
        <v>20</v>
      </c>
      <c r="H35" s="34">
        <v>7856.25</v>
      </c>
      <c r="I35" s="32">
        <v>10</v>
      </c>
      <c r="J35" s="32">
        <v>4</v>
      </c>
      <c r="K35" s="26">
        <v>0.4</v>
      </c>
      <c r="L35" s="26"/>
      <c r="M35" s="73">
        <v>7</v>
      </c>
      <c r="N35" s="73">
        <v>7</v>
      </c>
      <c r="O35" s="26">
        <v>1</v>
      </c>
      <c r="P35" s="34">
        <v>2524</v>
      </c>
      <c r="Q35" s="34">
        <v>283645.90000000002</v>
      </c>
      <c r="R35" s="99">
        <v>63</v>
      </c>
      <c r="S35" s="34">
        <v>8298</v>
      </c>
      <c r="T35" s="32">
        <v>9</v>
      </c>
      <c r="U35" s="32">
        <v>4</v>
      </c>
      <c r="V35" s="26">
        <v>0.44444444444444442</v>
      </c>
      <c r="W35" s="26"/>
      <c r="X35" s="73">
        <v>7</v>
      </c>
      <c r="Y35" s="73">
        <v>6</v>
      </c>
      <c r="Z35" s="26">
        <v>0.8571428571428571</v>
      </c>
      <c r="AA35" s="34">
        <v>2664</v>
      </c>
      <c r="AB35" s="34">
        <v>232491.5</v>
      </c>
      <c r="AC35" s="99">
        <v>75</v>
      </c>
      <c r="AD35" s="34">
        <v>16495.599999999999</v>
      </c>
      <c r="AE35" s="32">
        <v>8</v>
      </c>
      <c r="AF35" s="32">
        <v>4</v>
      </c>
      <c r="AG35" s="26">
        <v>0.5</v>
      </c>
      <c r="AH35" s="26"/>
      <c r="AI35" s="73">
        <v>7</v>
      </c>
      <c r="AJ35" s="73">
        <v>7</v>
      </c>
      <c r="AK35" s="26">
        <v>1</v>
      </c>
      <c r="AL35" s="34">
        <v>4636</v>
      </c>
      <c r="AM35" s="34">
        <v>286195.89</v>
      </c>
      <c r="AN35" s="99">
        <v>93</v>
      </c>
      <c r="AO35" s="34">
        <v>20874.7</v>
      </c>
      <c r="AP35" s="32">
        <v>10</v>
      </c>
      <c r="AQ35" s="32">
        <v>10</v>
      </c>
      <c r="AR35" s="26">
        <v>1</v>
      </c>
      <c r="AS35" s="26"/>
      <c r="AT35" s="97">
        <v>7</v>
      </c>
      <c r="AU35" s="97">
        <v>6</v>
      </c>
      <c r="AV35" s="82">
        <f t="shared" si="3"/>
        <v>0.8571428571428571</v>
      </c>
      <c r="AW35" s="98">
        <v>5334</v>
      </c>
      <c r="AX35" s="89">
        <v>282933.75</v>
      </c>
      <c r="AY35" s="98">
        <v>38</v>
      </c>
      <c r="AZ35" s="89">
        <v>15214.7</v>
      </c>
      <c r="BA35" s="97">
        <v>10</v>
      </c>
      <c r="BB35" s="97">
        <v>9</v>
      </c>
      <c r="BC35" s="82">
        <f t="shared" si="4"/>
        <v>0.9</v>
      </c>
      <c r="BD35" s="155" t="str">
        <f t="shared" si="0"/>
        <v>OK</v>
      </c>
      <c r="BE35" s="16" t="s">
        <v>15</v>
      </c>
      <c r="BF35" s="330">
        <v>5334</v>
      </c>
      <c r="BG35" s="332">
        <v>282933.75</v>
      </c>
      <c r="BH35" s="330">
        <v>38</v>
      </c>
      <c r="BI35" s="332">
        <v>15214.7</v>
      </c>
      <c r="BJ35" s="330">
        <v>10</v>
      </c>
      <c r="BK35" s="330">
        <v>9</v>
      </c>
      <c r="BL35" s="217">
        <v>0.9</v>
      </c>
    </row>
    <row r="36" spans="1:64" x14ac:dyDescent="0.35">
      <c r="A36" s="16" t="s">
        <v>16</v>
      </c>
      <c r="B36" s="73">
        <v>1</v>
      </c>
      <c r="C36" s="73">
        <v>1</v>
      </c>
      <c r="D36" s="26">
        <v>1</v>
      </c>
      <c r="E36" s="99">
        <v>621</v>
      </c>
      <c r="F36" s="34">
        <v>509856.54</v>
      </c>
      <c r="G36" s="99">
        <v>42</v>
      </c>
      <c r="H36" s="34">
        <v>14744.46</v>
      </c>
      <c r="I36" s="32">
        <v>6</v>
      </c>
      <c r="J36" s="32">
        <v>4</v>
      </c>
      <c r="K36" s="26">
        <v>0.66666666666666663</v>
      </c>
      <c r="L36" s="26"/>
      <c r="M36" s="73">
        <v>1</v>
      </c>
      <c r="N36" s="73">
        <v>1</v>
      </c>
      <c r="O36" s="26">
        <v>1</v>
      </c>
      <c r="P36" s="34">
        <v>703</v>
      </c>
      <c r="Q36" s="34">
        <v>502998.5</v>
      </c>
      <c r="R36" s="99">
        <v>48</v>
      </c>
      <c r="S36" s="34">
        <v>10982</v>
      </c>
      <c r="T36" s="32">
        <v>7</v>
      </c>
      <c r="U36" s="32">
        <v>5</v>
      </c>
      <c r="V36" s="26">
        <v>0.7142857142857143</v>
      </c>
      <c r="W36" s="26"/>
      <c r="X36" s="73">
        <v>1</v>
      </c>
      <c r="Y36" s="73">
        <v>1</v>
      </c>
      <c r="Z36" s="26">
        <v>1</v>
      </c>
      <c r="AA36" s="34">
        <v>1013</v>
      </c>
      <c r="AB36" s="34">
        <v>621136.5</v>
      </c>
      <c r="AC36" s="99">
        <v>53</v>
      </c>
      <c r="AD36" s="34">
        <v>15082.4</v>
      </c>
      <c r="AE36" s="32">
        <v>7</v>
      </c>
      <c r="AF36" s="32">
        <v>5</v>
      </c>
      <c r="AG36" s="26">
        <v>0.7142857142857143</v>
      </c>
      <c r="AH36" s="26"/>
      <c r="AI36" s="73">
        <v>1</v>
      </c>
      <c r="AJ36" s="73">
        <v>1</v>
      </c>
      <c r="AK36" s="26">
        <v>1</v>
      </c>
      <c r="AL36" s="34">
        <v>903</v>
      </c>
      <c r="AM36" s="34">
        <v>578152.31000000006</v>
      </c>
      <c r="AN36" s="99">
        <v>64</v>
      </c>
      <c r="AO36" s="34">
        <v>15728</v>
      </c>
      <c r="AP36" s="32">
        <v>5</v>
      </c>
      <c r="AQ36" s="32">
        <v>5</v>
      </c>
      <c r="AR36" s="26">
        <v>1</v>
      </c>
      <c r="AS36" s="26"/>
      <c r="AT36" s="97">
        <v>1</v>
      </c>
      <c r="AU36" s="97">
        <v>1</v>
      </c>
      <c r="AV36" s="82">
        <f t="shared" si="3"/>
        <v>1</v>
      </c>
      <c r="AW36" s="98">
        <v>1203</v>
      </c>
      <c r="AX36" s="89">
        <v>719137</v>
      </c>
      <c r="AY36" s="98">
        <v>47</v>
      </c>
      <c r="AZ36" s="89">
        <v>15560</v>
      </c>
      <c r="BA36" s="97">
        <v>6</v>
      </c>
      <c r="BB36" s="97">
        <v>5</v>
      </c>
      <c r="BC36" s="82">
        <f t="shared" si="4"/>
        <v>0.83333333333333337</v>
      </c>
      <c r="BD36" s="155" t="str">
        <f t="shared" si="0"/>
        <v>OK</v>
      </c>
      <c r="BE36" s="16" t="s">
        <v>16</v>
      </c>
      <c r="BF36" s="330">
        <v>1203</v>
      </c>
      <c r="BG36" s="332">
        <v>719137</v>
      </c>
      <c r="BH36" s="330">
        <v>47</v>
      </c>
      <c r="BI36" s="332">
        <v>15560</v>
      </c>
      <c r="BJ36" s="330">
        <v>6</v>
      </c>
      <c r="BK36" s="330">
        <v>5</v>
      </c>
      <c r="BL36" s="217">
        <v>0.83333333333333337</v>
      </c>
    </row>
    <row r="37" spans="1:64" x14ac:dyDescent="0.35">
      <c r="A37" s="16" t="s">
        <v>344</v>
      </c>
      <c r="B37" s="73">
        <v>2</v>
      </c>
      <c r="C37" s="73">
        <v>2</v>
      </c>
      <c r="D37" s="26">
        <v>1</v>
      </c>
      <c r="E37" s="99">
        <v>1076</v>
      </c>
      <c r="F37" s="34">
        <v>1066543.54</v>
      </c>
      <c r="G37" s="99">
        <v>0</v>
      </c>
      <c r="H37" s="34">
        <v>0</v>
      </c>
      <c r="I37" s="32">
        <v>1</v>
      </c>
      <c r="J37" s="32">
        <v>1</v>
      </c>
      <c r="K37" s="26">
        <v>1</v>
      </c>
      <c r="L37" s="26"/>
      <c r="M37" s="73">
        <v>2</v>
      </c>
      <c r="N37" s="73">
        <v>1</v>
      </c>
      <c r="O37" s="26">
        <v>0.5</v>
      </c>
      <c r="P37" s="34">
        <v>1616</v>
      </c>
      <c r="Q37" s="34">
        <v>1601671.5899999999</v>
      </c>
      <c r="R37" s="99">
        <v>4</v>
      </c>
      <c r="S37" s="34">
        <v>7107.02</v>
      </c>
      <c r="T37" s="32">
        <v>4</v>
      </c>
      <c r="U37" s="32">
        <v>4</v>
      </c>
      <c r="V37" s="26">
        <v>1</v>
      </c>
      <c r="W37" s="26"/>
      <c r="X37" s="73">
        <v>2</v>
      </c>
      <c r="Y37" s="73">
        <v>1</v>
      </c>
      <c r="Z37" s="26">
        <v>0.5</v>
      </c>
      <c r="AA37" s="34">
        <v>4546</v>
      </c>
      <c r="AB37" s="34">
        <v>2354149.39</v>
      </c>
      <c r="AC37" s="99">
        <v>20</v>
      </c>
      <c r="AD37" s="34">
        <v>121896.47</v>
      </c>
      <c r="AE37" s="32">
        <v>4</v>
      </c>
      <c r="AF37" s="32">
        <v>3</v>
      </c>
      <c r="AG37" s="26">
        <v>0.75</v>
      </c>
      <c r="AH37" s="26"/>
      <c r="AI37" s="73">
        <v>2</v>
      </c>
      <c r="AJ37" s="73">
        <v>2</v>
      </c>
      <c r="AK37" s="26">
        <v>1</v>
      </c>
      <c r="AL37" s="34">
        <v>5520</v>
      </c>
      <c r="AM37" s="34">
        <v>2487259.98</v>
      </c>
      <c r="AN37" s="99">
        <v>63</v>
      </c>
      <c r="AO37" s="34">
        <v>17612.12</v>
      </c>
      <c r="AP37" s="32">
        <v>6</v>
      </c>
      <c r="AQ37" s="32">
        <v>6</v>
      </c>
      <c r="AR37" s="26">
        <v>1</v>
      </c>
      <c r="AS37" s="26"/>
      <c r="AT37" s="97">
        <v>2</v>
      </c>
      <c r="AU37" s="97">
        <v>2</v>
      </c>
      <c r="AV37" s="82">
        <f t="shared" si="3"/>
        <v>1</v>
      </c>
      <c r="AW37" s="98">
        <v>7529</v>
      </c>
      <c r="AX37" s="89">
        <v>2972710.16</v>
      </c>
      <c r="AY37" s="98">
        <v>11</v>
      </c>
      <c r="AZ37" s="89">
        <v>21807.57</v>
      </c>
      <c r="BA37" s="97">
        <v>5</v>
      </c>
      <c r="BB37" s="97">
        <v>5</v>
      </c>
      <c r="BC37" s="82">
        <f t="shared" si="4"/>
        <v>1</v>
      </c>
      <c r="BD37" s="155" t="str">
        <f t="shared" si="0"/>
        <v>OK</v>
      </c>
      <c r="BE37" s="16" t="s">
        <v>344</v>
      </c>
      <c r="BF37" s="330">
        <v>7529</v>
      </c>
      <c r="BG37" s="332">
        <v>2972710.16</v>
      </c>
      <c r="BH37" s="330">
        <v>11</v>
      </c>
      <c r="BI37" s="332">
        <v>21807.57</v>
      </c>
      <c r="BJ37" s="330">
        <v>5</v>
      </c>
      <c r="BK37" s="330">
        <v>5</v>
      </c>
      <c r="BL37" s="217">
        <v>1</v>
      </c>
    </row>
    <row r="38" spans="1:64" x14ac:dyDescent="0.35">
      <c r="A38" s="16" t="s">
        <v>17</v>
      </c>
      <c r="B38" s="73"/>
      <c r="C38" s="73"/>
      <c r="D38" s="26"/>
      <c r="E38" s="99"/>
      <c r="F38" s="34"/>
      <c r="G38" s="99"/>
      <c r="H38" s="34"/>
      <c r="I38" s="32"/>
      <c r="J38" s="32"/>
      <c r="K38" s="26"/>
      <c r="L38" s="26"/>
      <c r="M38" s="73"/>
      <c r="N38" s="73"/>
      <c r="O38" s="26"/>
      <c r="P38" s="34"/>
      <c r="Q38" s="34"/>
      <c r="R38" s="99"/>
      <c r="S38" s="34"/>
      <c r="T38" s="32"/>
      <c r="U38" s="32"/>
      <c r="V38" s="26"/>
      <c r="W38" s="26"/>
      <c r="X38" s="73" t="s">
        <v>302</v>
      </c>
      <c r="Y38" s="73" t="s">
        <v>302</v>
      </c>
      <c r="Z38" s="26"/>
      <c r="AA38" s="34"/>
      <c r="AB38" s="34"/>
      <c r="AC38" s="99"/>
      <c r="AD38" s="34"/>
      <c r="AE38" s="32"/>
      <c r="AF38" s="32"/>
      <c r="AG38" s="26"/>
      <c r="AH38" s="26"/>
      <c r="AI38" s="73" t="s">
        <v>302</v>
      </c>
      <c r="AJ38" s="73" t="s">
        <v>302</v>
      </c>
      <c r="AK38" s="26"/>
      <c r="AL38" s="34"/>
      <c r="AM38" s="34"/>
      <c r="AN38" s="99"/>
      <c r="AO38" s="34"/>
      <c r="AP38" s="32"/>
      <c r="AQ38" s="32"/>
      <c r="AR38" s="26"/>
      <c r="AS38" s="26"/>
      <c r="AT38" s="97" t="s">
        <v>302</v>
      </c>
      <c r="AU38" s="97" t="s">
        <v>302</v>
      </c>
      <c r="AV38" s="82"/>
      <c r="AW38" s="98"/>
      <c r="AX38" s="89"/>
      <c r="AY38" s="98"/>
      <c r="AZ38" s="89"/>
      <c r="BA38" s="97"/>
      <c r="BB38" s="97"/>
      <c r="BC38" s="82"/>
      <c r="BD38" s="155" t="str">
        <f t="shared" si="0"/>
        <v>OK</v>
      </c>
      <c r="BE38" s="16" t="s">
        <v>17</v>
      </c>
      <c r="BF38" s="330"/>
      <c r="BG38" s="332"/>
      <c r="BH38" s="330"/>
      <c r="BI38" s="332"/>
      <c r="BJ38" s="330"/>
      <c r="BK38" s="330"/>
      <c r="BL38" s="217"/>
    </row>
    <row r="39" spans="1:64" x14ac:dyDescent="0.35">
      <c r="A39" s="16" t="s">
        <v>358</v>
      </c>
      <c r="B39" s="73">
        <v>5</v>
      </c>
      <c r="C39" s="73">
        <v>5</v>
      </c>
      <c r="D39" s="26">
        <v>1</v>
      </c>
      <c r="E39" s="99">
        <v>290</v>
      </c>
      <c r="F39" s="34">
        <v>96771.97</v>
      </c>
      <c r="G39" s="99">
        <v>1</v>
      </c>
      <c r="H39" s="34">
        <v>200</v>
      </c>
      <c r="I39" s="32">
        <v>6</v>
      </c>
      <c r="J39" s="32">
        <v>4</v>
      </c>
      <c r="K39" s="26">
        <v>0.66666666666666663</v>
      </c>
      <c r="L39" s="26"/>
      <c r="M39" s="73">
        <v>5</v>
      </c>
      <c r="N39" s="73">
        <v>4</v>
      </c>
      <c r="O39" s="26">
        <v>0.8</v>
      </c>
      <c r="P39" s="34">
        <v>343</v>
      </c>
      <c r="Q39" s="34">
        <v>159961.03999999998</v>
      </c>
      <c r="R39" s="99">
        <v>4</v>
      </c>
      <c r="S39" s="34">
        <v>2200</v>
      </c>
      <c r="T39" s="32">
        <v>6</v>
      </c>
      <c r="U39" s="32">
        <v>5</v>
      </c>
      <c r="V39" s="26">
        <v>0.83333333333333337</v>
      </c>
      <c r="W39" s="26"/>
      <c r="X39" s="73">
        <v>2</v>
      </c>
      <c r="Y39" s="73">
        <v>2</v>
      </c>
      <c r="Z39" s="26">
        <v>1</v>
      </c>
      <c r="AA39" s="34">
        <v>203</v>
      </c>
      <c r="AB39" s="34">
        <v>71101.05</v>
      </c>
      <c r="AC39" s="99">
        <v>1</v>
      </c>
      <c r="AD39" s="34">
        <v>268</v>
      </c>
      <c r="AE39" s="32">
        <v>4</v>
      </c>
      <c r="AF39" s="32">
        <v>4</v>
      </c>
      <c r="AG39" s="26">
        <v>1</v>
      </c>
      <c r="AH39" s="26"/>
      <c r="AI39" s="73">
        <v>2</v>
      </c>
      <c r="AJ39" s="73">
        <v>2</v>
      </c>
      <c r="AK39" s="26">
        <v>1</v>
      </c>
      <c r="AL39" s="34">
        <v>58</v>
      </c>
      <c r="AM39" s="34">
        <v>32562.300000000003</v>
      </c>
      <c r="AN39" s="99">
        <v>0</v>
      </c>
      <c r="AO39" s="34">
        <v>0</v>
      </c>
      <c r="AP39" s="32">
        <v>4</v>
      </c>
      <c r="AQ39" s="32">
        <v>4</v>
      </c>
      <c r="AR39" s="26">
        <v>1</v>
      </c>
      <c r="AS39" s="26"/>
      <c r="AT39" s="97">
        <v>1</v>
      </c>
      <c r="AU39" s="97">
        <v>1</v>
      </c>
      <c r="AV39" s="82">
        <f t="shared" ref="AV39:AV44" si="5">AU39/AT39</f>
        <v>1</v>
      </c>
      <c r="AW39" s="98">
        <v>2</v>
      </c>
      <c r="AX39" s="89">
        <v>7105</v>
      </c>
      <c r="AY39" s="98"/>
      <c r="AZ39" s="89"/>
      <c r="BA39" s="97">
        <v>3</v>
      </c>
      <c r="BB39" s="97">
        <v>3</v>
      </c>
      <c r="BC39" s="82">
        <f t="shared" ref="BC39:BC44" si="6">BB39/BA39</f>
        <v>1</v>
      </c>
      <c r="BD39" s="155" t="str">
        <f t="shared" si="0"/>
        <v>OK</v>
      </c>
      <c r="BE39" s="16" t="s">
        <v>358</v>
      </c>
      <c r="BF39" s="330">
        <v>2</v>
      </c>
      <c r="BG39" s="332">
        <v>7105</v>
      </c>
      <c r="BH39" s="330"/>
      <c r="BI39" s="332"/>
      <c r="BJ39" s="330">
        <v>3</v>
      </c>
      <c r="BK39" s="330">
        <v>3</v>
      </c>
      <c r="BL39" s="217">
        <v>1</v>
      </c>
    </row>
    <row r="40" spans="1:64" x14ac:dyDescent="0.35">
      <c r="A40" s="16" t="s">
        <v>25</v>
      </c>
      <c r="B40" s="73">
        <v>5</v>
      </c>
      <c r="C40" s="73">
        <v>5</v>
      </c>
      <c r="D40" s="26">
        <v>1</v>
      </c>
      <c r="E40" s="99">
        <v>1520</v>
      </c>
      <c r="F40" s="34">
        <v>95861.34</v>
      </c>
      <c r="G40" s="99">
        <v>183</v>
      </c>
      <c r="H40" s="34">
        <v>7994.28</v>
      </c>
      <c r="I40" s="32">
        <v>6</v>
      </c>
      <c r="J40" s="32">
        <v>4</v>
      </c>
      <c r="K40" s="26">
        <v>0.66666666666666663</v>
      </c>
      <c r="L40" s="26"/>
      <c r="M40" s="73">
        <v>7</v>
      </c>
      <c r="N40" s="73">
        <v>6</v>
      </c>
      <c r="O40" s="26">
        <v>0.8571428571428571</v>
      </c>
      <c r="P40" s="34">
        <v>2063</v>
      </c>
      <c r="Q40" s="34">
        <v>127172.18</v>
      </c>
      <c r="R40" s="99">
        <v>371</v>
      </c>
      <c r="S40" s="34">
        <v>15219.039999999999</v>
      </c>
      <c r="T40" s="32">
        <v>11</v>
      </c>
      <c r="U40" s="32">
        <v>9</v>
      </c>
      <c r="V40" s="26">
        <v>0.81818181818181823</v>
      </c>
      <c r="W40" s="26"/>
      <c r="X40" s="73">
        <v>6</v>
      </c>
      <c r="Y40" s="73">
        <v>6</v>
      </c>
      <c r="Z40" s="26">
        <v>1</v>
      </c>
      <c r="AA40" s="34">
        <v>2355</v>
      </c>
      <c r="AB40" s="34">
        <v>116346.14</v>
      </c>
      <c r="AC40" s="99">
        <v>371</v>
      </c>
      <c r="AD40" s="34">
        <v>11827.439999999999</v>
      </c>
      <c r="AE40" s="32">
        <v>9</v>
      </c>
      <c r="AF40" s="32">
        <v>9</v>
      </c>
      <c r="AG40" s="26">
        <v>1</v>
      </c>
      <c r="AH40" s="26"/>
      <c r="AI40" s="73">
        <v>4</v>
      </c>
      <c r="AJ40" s="73">
        <v>4</v>
      </c>
      <c r="AK40" s="26">
        <v>1</v>
      </c>
      <c r="AL40" s="34">
        <v>4000</v>
      </c>
      <c r="AM40" s="34">
        <v>73096.98</v>
      </c>
      <c r="AN40" s="99">
        <v>2546</v>
      </c>
      <c r="AO40" s="34">
        <v>37386.590000000004</v>
      </c>
      <c r="AP40" s="32">
        <v>9</v>
      </c>
      <c r="AQ40" s="32">
        <v>9</v>
      </c>
      <c r="AR40" s="26">
        <v>1</v>
      </c>
      <c r="AS40" s="26"/>
      <c r="AT40" s="97">
        <v>3</v>
      </c>
      <c r="AU40" s="97">
        <v>3</v>
      </c>
      <c r="AV40" s="82">
        <f t="shared" si="5"/>
        <v>1</v>
      </c>
      <c r="AW40" s="98">
        <v>40</v>
      </c>
      <c r="AX40" s="89">
        <v>630</v>
      </c>
      <c r="AY40" s="98">
        <v>17</v>
      </c>
      <c r="AZ40" s="89">
        <v>190</v>
      </c>
      <c r="BA40" s="97">
        <v>7</v>
      </c>
      <c r="BB40" s="97">
        <v>7</v>
      </c>
      <c r="BC40" s="82">
        <f t="shared" si="6"/>
        <v>1</v>
      </c>
      <c r="BD40" s="155" t="str">
        <f t="shared" si="0"/>
        <v>OK</v>
      </c>
      <c r="BE40" s="16" t="s">
        <v>25</v>
      </c>
      <c r="BF40" s="330">
        <v>40</v>
      </c>
      <c r="BG40" s="332">
        <v>630</v>
      </c>
      <c r="BH40" s="330">
        <v>17</v>
      </c>
      <c r="BI40" s="332">
        <v>190</v>
      </c>
      <c r="BJ40" s="330">
        <v>7</v>
      </c>
      <c r="BK40" s="330">
        <v>7</v>
      </c>
      <c r="BL40" s="217">
        <v>1</v>
      </c>
    </row>
    <row r="41" spans="1:64" x14ac:dyDescent="0.35">
      <c r="A41" s="16" t="s">
        <v>18</v>
      </c>
      <c r="B41" s="73">
        <v>12</v>
      </c>
      <c r="C41" s="73">
        <v>9</v>
      </c>
      <c r="D41" s="26">
        <v>0.75</v>
      </c>
      <c r="E41" s="99">
        <v>3593</v>
      </c>
      <c r="F41" s="34">
        <v>106821.76000000001</v>
      </c>
      <c r="G41" s="99">
        <v>9</v>
      </c>
      <c r="H41" s="34">
        <v>864.36</v>
      </c>
      <c r="I41" s="32">
        <v>81</v>
      </c>
      <c r="J41" s="32">
        <v>69</v>
      </c>
      <c r="K41" s="26">
        <v>0.85185185185185186</v>
      </c>
      <c r="L41" s="26"/>
      <c r="M41" s="73">
        <v>12</v>
      </c>
      <c r="N41" s="73">
        <v>9</v>
      </c>
      <c r="O41" s="26">
        <v>0.75</v>
      </c>
      <c r="P41" s="34">
        <v>3804</v>
      </c>
      <c r="Q41" s="34">
        <v>125890.54999999999</v>
      </c>
      <c r="R41" s="99">
        <v>6</v>
      </c>
      <c r="S41" s="34">
        <v>256.07</v>
      </c>
      <c r="T41" s="32">
        <v>60</v>
      </c>
      <c r="U41" s="32">
        <v>54</v>
      </c>
      <c r="V41" s="26">
        <v>0.9</v>
      </c>
      <c r="W41" s="26"/>
      <c r="X41" s="73">
        <v>13</v>
      </c>
      <c r="Y41" s="73">
        <v>7</v>
      </c>
      <c r="Z41" s="26">
        <v>0.53846153846153844</v>
      </c>
      <c r="AA41" s="34">
        <v>3140</v>
      </c>
      <c r="AB41" s="34">
        <v>101600.37</v>
      </c>
      <c r="AC41" s="99">
        <v>10</v>
      </c>
      <c r="AD41" s="34">
        <v>368.85</v>
      </c>
      <c r="AE41" s="32">
        <v>53</v>
      </c>
      <c r="AF41" s="32">
        <v>48</v>
      </c>
      <c r="AG41" s="26">
        <v>0.90566037735849059</v>
      </c>
      <c r="AH41" s="26"/>
      <c r="AI41" s="73">
        <v>13</v>
      </c>
      <c r="AJ41" s="73">
        <v>8</v>
      </c>
      <c r="AK41" s="26">
        <v>0.61538461538461542</v>
      </c>
      <c r="AL41" s="34">
        <v>1865</v>
      </c>
      <c r="AM41" s="34">
        <v>77426.460000000006</v>
      </c>
      <c r="AN41" s="99">
        <v>11</v>
      </c>
      <c r="AO41" s="34">
        <v>710.88999999999987</v>
      </c>
      <c r="AP41" s="32">
        <v>39</v>
      </c>
      <c r="AQ41" s="32">
        <v>30</v>
      </c>
      <c r="AR41" s="26">
        <v>0.76923076923076927</v>
      </c>
      <c r="AS41" s="26"/>
      <c r="AT41" s="97">
        <v>10</v>
      </c>
      <c r="AU41" s="97">
        <v>6</v>
      </c>
      <c r="AV41" s="82">
        <f t="shared" si="5"/>
        <v>0.6</v>
      </c>
      <c r="AW41" s="98">
        <v>49</v>
      </c>
      <c r="AX41" s="89">
        <v>5212.4799999999996</v>
      </c>
      <c r="AY41" s="98"/>
      <c r="AZ41" s="89"/>
      <c r="BA41" s="97">
        <v>33</v>
      </c>
      <c r="BB41" s="97">
        <v>21</v>
      </c>
      <c r="BC41" s="82">
        <f t="shared" si="6"/>
        <v>0.63636363636363635</v>
      </c>
      <c r="BD41" s="155" t="str">
        <f t="shared" si="0"/>
        <v>OK</v>
      </c>
      <c r="BE41" s="16" t="s">
        <v>18</v>
      </c>
      <c r="BF41" s="330">
        <v>49</v>
      </c>
      <c r="BG41" s="332">
        <v>5212.4799999999996</v>
      </c>
      <c r="BH41" s="330"/>
      <c r="BI41" s="332"/>
      <c r="BJ41" s="330">
        <v>33</v>
      </c>
      <c r="BK41" s="330">
        <v>21</v>
      </c>
      <c r="BL41" s="217">
        <v>0.63636363636363635</v>
      </c>
    </row>
    <row r="42" spans="1:64" x14ac:dyDescent="0.35">
      <c r="A42" s="16" t="s">
        <v>353</v>
      </c>
      <c r="B42" s="73">
        <v>21</v>
      </c>
      <c r="C42" s="73">
        <v>20</v>
      </c>
      <c r="D42" s="26">
        <v>0.95238095238095233</v>
      </c>
      <c r="E42" s="99">
        <v>10982</v>
      </c>
      <c r="F42" s="34">
        <v>1386799.7199999997</v>
      </c>
      <c r="G42" s="99">
        <v>77</v>
      </c>
      <c r="H42" s="34">
        <v>18046.169999999998</v>
      </c>
      <c r="I42" s="32">
        <v>53</v>
      </c>
      <c r="J42" s="32">
        <v>46</v>
      </c>
      <c r="K42" s="26">
        <v>0.86792452830188682</v>
      </c>
      <c r="L42" s="26"/>
      <c r="M42" s="73">
        <v>22</v>
      </c>
      <c r="N42" s="73">
        <v>21</v>
      </c>
      <c r="O42" s="26">
        <v>0.95454545454545459</v>
      </c>
      <c r="P42" s="34">
        <v>12335</v>
      </c>
      <c r="Q42" s="34">
        <v>636379.06000000006</v>
      </c>
      <c r="R42" s="99">
        <v>65</v>
      </c>
      <c r="S42" s="34">
        <v>18719.22</v>
      </c>
      <c r="T42" s="32">
        <v>38</v>
      </c>
      <c r="U42" s="32">
        <v>29</v>
      </c>
      <c r="V42" s="26">
        <v>0.76315789473684215</v>
      </c>
      <c r="W42" s="26"/>
      <c r="X42" s="73">
        <v>18</v>
      </c>
      <c r="Y42" s="73">
        <v>17</v>
      </c>
      <c r="Z42" s="26">
        <v>0.94444444444444442</v>
      </c>
      <c r="AA42" s="34">
        <v>11631</v>
      </c>
      <c r="AB42" s="34">
        <v>500162.56</v>
      </c>
      <c r="AC42" s="99">
        <v>127</v>
      </c>
      <c r="AD42" s="34">
        <v>23898.75</v>
      </c>
      <c r="AE42" s="32">
        <v>32</v>
      </c>
      <c r="AF42" s="32">
        <v>25</v>
      </c>
      <c r="AG42" s="26">
        <v>0.78125</v>
      </c>
      <c r="AH42" s="26"/>
      <c r="AI42" s="73">
        <v>17</v>
      </c>
      <c r="AJ42" s="73">
        <v>17</v>
      </c>
      <c r="AK42" s="26">
        <v>1</v>
      </c>
      <c r="AL42" s="34">
        <v>9554</v>
      </c>
      <c r="AM42" s="34">
        <v>347586.52999999997</v>
      </c>
      <c r="AN42" s="99">
        <v>180</v>
      </c>
      <c r="AO42" s="34">
        <v>55667.3</v>
      </c>
      <c r="AP42" s="32">
        <v>32</v>
      </c>
      <c r="AQ42" s="32">
        <v>19</v>
      </c>
      <c r="AR42" s="26">
        <v>0.59375</v>
      </c>
      <c r="AS42" s="26"/>
      <c r="AT42" s="97">
        <v>14</v>
      </c>
      <c r="AU42" s="97">
        <v>7</v>
      </c>
      <c r="AV42" s="82">
        <f t="shared" si="5"/>
        <v>0.5</v>
      </c>
      <c r="AW42" s="98">
        <v>4392</v>
      </c>
      <c r="AX42" s="89">
        <v>238151.66999999998</v>
      </c>
      <c r="AY42" s="98">
        <v>65</v>
      </c>
      <c r="AZ42" s="89">
        <v>6751</v>
      </c>
      <c r="BA42" s="97">
        <v>22</v>
      </c>
      <c r="BB42" s="97">
        <v>22</v>
      </c>
      <c r="BC42" s="82">
        <f t="shared" si="6"/>
        <v>1</v>
      </c>
      <c r="BD42" s="155" t="str">
        <f t="shared" si="0"/>
        <v>OK</v>
      </c>
      <c r="BE42" s="16" t="s">
        <v>353</v>
      </c>
      <c r="BF42" s="330">
        <v>4392</v>
      </c>
      <c r="BG42" s="332">
        <v>238151.66999999998</v>
      </c>
      <c r="BH42" s="330">
        <v>65</v>
      </c>
      <c r="BI42" s="332">
        <v>6751</v>
      </c>
      <c r="BJ42" s="330">
        <v>22</v>
      </c>
      <c r="BK42" s="330">
        <v>22</v>
      </c>
      <c r="BL42" s="217">
        <v>1</v>
      </c>
    </row>
    <row r="43" spans="1:64" x14ac:dyDescent="0.35">
      <c r="A43" s="16" t="s">
        <v>354</v>
      </c>
      <c r="B43" s="73">
        <v>18</v>
      </c>
      <c r="C43" s="73">
        <v>14</v>
      </c>
      <c r="D43" s="26">
        <v>0.77777777777777779</v>
      </c>
      <c r="E43" s="99">
        <v>29114</v>
      </c>
      <c r="F43" s="34">
        <v>809693.47000000009</v>
      </c>
      <c r="G43" s="99">
        <v>129</v>
      </c>
      <c r="H43" s="34">
        <v>12942.85</v>
      </c>
      <c r="I43" s="32">
        <v>49</v>
      </c>
      <c r="J43" s="32">
        <v>39</v>
      </c>
      <c r="K43" s="26">
        <v>0.79591836734693877</v>
      </c>
      <c r="L43" s="26"/>
      <c r="M43" s="73">
        <v>17</v>
      </c>
      <c r="N43" s="73">
        <v>14</v>
      </c>
      <c r="O43" s="26">
        <v>0.82352941176470584</v>
      </c>
      <c r="P43" s="34">
        <v>15245</v>
      </c>
      <c r="Q43" s="34">
        <v>873828.44</v>
      </c>
      <c r="R43" s="99">
        <v>152</v>
      </c>
      <c r="S43" s="34">
        <v>15865.75</v>
      </c>
      <c r="T43" s="32">
        <v>38</v>
      </c>
      <c r="U43" s="32">
        <v>26</v>
      </c>
      <c r="V43" s="26">
        <v>0.68421052631578949</v>
      </c>
      <c r="W43" s="26"/>
      <c r="X43" s="73">
        <v>16</v>
      </c>
      <c r="Y43" s="73">
        <v>12</v>
      </c>
      <c r="Z43" s="26">
        <v>0.75</v>
      </c>
      <c r="AA43" s="34">
        <v>9739</v>
      </c>
      <c r="AB43" s="34">
        <v>756948.47999999998</v>
      </c>
      <c r="AC43" s="99">
        <v>143</v>
      </c>
      <c r="AD43" s="34">
        <v>15594.080000000002</v>
      </c>
      <c r="AE43" s="32">
        <v>26</v>
      </c>
      <c r="AF43" s="32">
        <v>17</v>
      </c>
      <c r="AG43" s="26">
        <v>0.65384615384615385</v>
      </c>
      <c r="AH43" s="26"/>
      <c r="AI43" s="73">
        <v>13</v>
      </c>
      <c r="AJ43" s="73">
        <v>12</v>
      </c>
      <c r="AK43" s="26">
        <v>0.92307692307692313</v>
      </c>
      <c r="AL43" s="34">
        <v>7672</v>
      </c>
      <c r="AM43" s="34">
        <v>714735.74</v>
      </c>
      <c r="AN43" s="99">
        <v>157</v>
      </c>
      <c r="AO43" s="34">
        <v>26619.56</v>
      </c>
      <c r="AP43" s="32">
        <v>28</v>
      </c>
      <c r="AQ43" s="32">
        <v>28</v>
      </c>
      <c r="AR43" s="26">
        <v>1</v>
      </c>
      <c r="AS43" s="26"/>
      <c r="AT43" s="97">
        <v>12</v>
      </c>
      <c r="AU43" s="97">
        <v>11</v>
      </c>
      <c r="AV43" s="82">
        <f t="shared" si="5"/>
        <v>0.91666666666666663</v>
      </c>
      <c r="AW43" s="98">
        <v>3063</v>
      </c>
      <c r="AX43" s="89">
        <v>465037.48</v>
      </c>
      <c r="AY43" s="98">
        <v>128</v>
      </c>
      <c r="AZ43" s="89">
        <v>30902.059999999998</v>
      </c>
      <c r="BA43" s="97">
        <v>23</v>
      </c>
      <c r="BB43" s="97">
        <v>22</v>
      </c>
      <c r="BC43" s="82">
        <f t="shared" si="6"/>
        <v>0.95652173913043481</v>
      </c>
      <c r="BD43" s="155" t="str">
        <f t="shared" si="0"/>
        <v>OK</v>
      </c>
      <c r="BE43" s="16" t="s">
        <v>354</v>
      </c>
      <c r="BF43" s="330">
        <v>3063</v>
      </c>
      <c r="BG43" s="332">
        <v>465037.48</v>
      </c>
      <c r="BH43" s="330">
        <v>128</v>
      </c>
      <c r="BI43" s="332">
        <v>30902.059999999998</v>
      </c>
      <c r="BJ43" s="330">
        <v>23</v>
      </c>
      <c r="BK43" s="330">
        <v>22</v>
      </c>
      <c r="BL43" s="217">
        <v>0.95652173913043481</v>
      </c>
    </row>
    <row r="44" spans="1:64" x14ac:dyDescent="0.35">
      <c r="A44" s="16" t="s">
        <v>409</v>
      </c>
      <c r="B44" s="73">
        <v>61</v>
      </c>
      <c r="C44" s="73">
        <v>49</v>
      </c>
      <c r="D44" s="26">
        <v>0.80327868852459017</v>
      </c>
      <c r="E44" s="99">
        <v>487444</v>
      </c>
      <c r="F44" s="34">
        <v>67867182.479999989</v>
      </c>
      <c r="G44" s="99">
        <v>1065</v>
      </c>
      <c r="H44" s="34">
        <v>197786.17999999996</v>
      </c>
      <c r="I44" s="32">
        <v>345</v>
      </c>
      <c r="J44" s="32">
        <v>257</v>
      </c>
      <c r="K44" s="26">
        <v>0.74492753623188401</v>
      </c>
      <c r="L44" s="26"/>
      <c r="M44" s="73">
        <v>67</v>
      </c>
      <c r="N44" s="73">
        <v>50</v>
      </c>
      <c r="O44" s="26">
        <v>0.74626865671641796</v>
      </c>
      <c r="P44" s="34">
        <v>549410</v>
      </c>
      <c r="Q44" s="34">
        <v>81929462.229999989</v>
      </c>
      <c r="R44" s="99">
        <v>985</v>
      </c>
      <c r="S44" s="34">
        <v>201869.21999999994</v>
      </c>
      <c r="T44" s="32">
        <v>299</v>
      </c>
      <c r="U44" s="32">
        <v>206</v>
      </c>
      <c r="V44" s="26">
        <v>0.68896321070234112</v>
      </c>
      <c r="W44" s="26"/>
      <c r="X44" s="73">
        <v>66</v>
      </c>
      <c r="Y44" s="73">
        <v>58</v>
      </c>
      <c r="Z44" s="26">
        <v>0.87878787878787878</v>
      </c>
      <c r="AA44" s="34">
        <v>621900</v>
      </c>
      <c r="AB44" s="34">
        <v>106914726.10000001</v>
      </c>
      <c r="AC44" s="99">
        <v>1266</v>
      </c>
      <c r="AD44" s="34">
        <v>297560.11000000004</v>
      </c>
      <c r="AE44" s="32">
        <v>295</v>
      </c>
      <c r="AF44" s="32">
        <v>199</v>
      </c>
      <c r="AG44" s="26">
        <v>0.6745762711864407</v>
      </c>
      <c r="AH44" s="26"/>
      <c r="AI44" s="73">
        <v>209</v>
      </c>
      <c r="AJ44" s="73">
        <v>178</v>
      </c>
      <c r="AK44" s="26">
        <v>0.85167464114832536</v>
      </c>
      <c r="AL44" s="34">
        <v>802673</v>
      </c>
      <c r="AM44" s="34">
        <v>109632959.68999992</v>
      </c>
      <c r="AN44" s="99">
        <v>4324</v>
      </c>
      <c r="AO44" s="34">
        <v>714462.33000000007</v>
      </c>
      <c r="AP44" s="32">
        <v>283</v>
      </c>
      <c r="AQ44" s="32">
        <v>181</v>
      </c>
      <c r="AR44" s="26">
        <v>0.63957597173144876</v>
      </c>
      <c r="AS44" s="26"/>
      <c r="AT44" s="97">
        <v>91</v>
      </c>
      <c r="AU44" s="97">
        <v>63</v>
      </c>
      <c r="AV44" s="82">
        <f t="shared" si="5"/>
        <v>0.69230769230769229</v>
      </c>
      <c r="AW44" s="98">
        <v>773093</v>
      </c>
      <c r="AX44" s="89">
        <v>124757364.41000007</v>
      </c>
      <c r="AY44" s="98">
        <v>8883</v>
      </c>
      <c r="AZ44" s="89">
        <v>1278959.9099999999</v>
      </c>
      <c r="BA44" s="97">
        <v>309</v>
      </c>
      <c r="BB44" s="97">
        <v>193</v>
      </c>
      <c r="BC44" s="82">
        <f t="shared" si="6"/>
        <v>0.62459546925566345</v>
      </c>
      <c r="BD44" s="155" t="str">
        <f t="shared" si="0"/>
        <v>OK</v>
      </c>
      <c r="BE44" s="16" t="s">
        <v>409</v>
      </c>
      <c r="BF44" s="330">
        <v>773093</v>
      </c>
      <c r="BG44" s="332">
        <v>124757364.41000007</v>
      </c>
      <c r="BH44" s="330">
        <v>8883</v>
      </c>
      <c r="BI44" s="332">
        <v>1278959.9099999999</v>
      </c>
      <c r="BJ44" s="330">
        <v>309</v>
      </c>
      <c r="BK44" s="330">
        <v>193</v>
      </c>
      <c r="BL44" s="217">
        <v>0.62459546925566345</v>
      </c>
    </row>
    <row r="45" spans="1:64" x14ac:dyDescent="0.35">
      <c r="A45" s="16" t="s">
        <v>28</v>
      </c>
      <c r="B45" s="73"/>
      <c r="C45" s="73"/>
      <c r="D45" s="26"/>
      <c r="E45" s="99"/>
      <c r="F45" s="34"/>
      <c r="G45" s="99"/>
      <c r="H45" s="34"/>
      <c r="I45" s="32"/>
      <c r="J45" s="32"/>
      <c r="K45" s="26"/>
      <c r="L45" s="26"/>
      <c r="M45" s="73"/>
      <c r="N45" s="73"/>
      <c r="O45" s="26"/>
      <c r="P45" s="34"/>
      <c r="Q45" s="34"/>
      <c r="R45" s="99"/>
      <c r="S45" s="34"/>
      <c r="T45" s="32"/>
      <c r="U45" s="32"/>
      <c r="V45" s="26"/>
      <c r="W45" s="26"/>
      <c r="X45" s="73" t="s">
        <v>302</v>
      </c>
      <c r="Y45" s="73" t="s">
        <v>302</v>
      </c>
      <c r="Z45" s="26"/>
      <c r="AA45" s="34"/>
      <c r="AB45" s="34"/>
      <c r="AC45" s="99"/>
      <c r="AD45" s="34"/>
      <c r="AE45" s="32"/>
      <c r="AF45" s="32"/>
      <c r="AG45" s="26"/>
      <c r="AH45" s="26"/>
      <c r="AI45" s="73" t="s">
        <v>302</v>
      </c>
      <c r="AJ45" s="73" t="s">
        <v>302</v>
      </c>
      <c r="AK45" s="26"/>
      <c r="AL45" s="34"/>
      <c r="AM45" s="34"/>
      <c r="AN45" s="99"/>
      <c r="AO45" s="34"/>
      <c r="AP45" s="32"/>
      <c r="AQ45" s="32"/>
      <c r="AR45" s="26"/>
      <c r="AS45" s="26"/>
      <c r="AT45" s="97" t="s">
        <v>302</v>
      </c>
      <c r="AU45" s="97" t="s">
        <v>302</v>
      </c>
      <c r="AV45" s="82"/>
      <c r="AW45" s="98"/>
      <c r="AX45" s="89"/>
      <c r="AY45" s="98"/>
      <c r="AZ45" s="89"/>
      <c r="BA45" s="97"/>
      <c r="BB45" s="97"/>
      <c r="BC45" s="82"/>
      <c r="BD45" s="155" t="str">
        <f t="shared" si="0"/>
        <v>OK</v>
      </c>
      <c r="BE45" s="16" t="s">
        <v>28</v>
      </c>
      <c r="BF45" s="330"/>
      <c r="BG45" s="332"/>
      <c r="BH45" s="330"/>
      <c r="BI45" s="332"/>
      <c r="BJ45" s="330"/>
      <c r="BK45" s="330"/>
      <c r="BL45" s="217"/>
    </row>
    <row r="46" spans="1:64" x14ac:dyDescent="0.35">
      <c r="A46" s="16" t="s">
        <v>29</v>
      </c>
      <c r="B46" s="73"/>
      <c r="C46" s="73"/>
      <c r="D46" s="26"/>
      <c r="E46" s="99"/>
      <c r="F46" s="34"/>
      <c r="G46" s="99"/>
      <c r="H46" s="34"/>
      <c r="I46" s="32"/>
      <c r="J46" s="32"/>
      <c r="K46" s="26"/>
      <c r="L46" s="26"/>
      <c r="M46" s="73"/>
      <c r="N46" s="73"/>
      <c r="O46" s="26"/>
      <c r="P46" s="34"/>
      <c r="Q46" s="34"/>
      <c r="R46" s="99"/>
      <c r="S46" s="34"/>
      <c r="T46" s="32"/>
      <c r="U46" s="32"/>
      <c r="V46" s="26"/>
      <c r="W46" s="26"/>
      <c r="X46" s="73" t="s">
        <v>302</v>
      </c>
      <c r="Y46" s="73" t="s">
        <v>302</v>
      </c>
      <c r="Z46" s="26"/>
      <c r="AA46" s="34"/>
      <c r="AB46" s="34"/>
      <c r="AC46" s="99"/>
      <c r="AD46" s="34"/>
      <c r="AE46" s="32"/>
      <c r="AF46" s="32"/>
      <c r="AG46" s="26"/>
      <c r="AH46" s="26"/>
      <c r="AI46" s="73" t="s">
        <v>302</v>
      </c>
      <c r="AJ46" s="73" t="s">
        <v>302</v>
      </c>
      <c r="AK46" s="26"/>
      <c r="AL46" s="34"/>
      <c r="AM46" s="34"/>
      <c r="AN46" s="99"/>
      <c r="AO46" s="34"/>
      <c r="AP46" s="32"/>
      <c r="AQ46" s="32"/>
      <c r="AR46" s="26"/>
      <c r="AS46" s="26"/>
      <c r="AT46" s="97" t="s">
        <v>302</v>
      </c>
      <c r="AU46" s="97" t="s">
        <v>302</v>
      </c>
      <c r="AV46" s="82"/>
      <c r="AW46" s="98"/>
      <c r="AX46" s="89"/>
      <c r="AY46" s="98"/>
      <c r="AZ46" s="89"/>
      <c r="BA46" s="97"/>
      <c r="BB46" s="97"/>
      <c r="BC46" s="82"/>
      <c r="BD46" s="155" t="str">
        <f t="shared" si="0"/>
        <v>OK</v>
      </c>
      <c r="BE46" s="16" t="s">
        <v>29</v>
      </c>
      <c r="BF46" s="330"/>
      <c r="BG46" s="332"/>
      <c r="BH46" s="330"/>
      <c r="BI46" s="332"/>
      <c r="BJ46" s="330"/>
      <c r="BK46" s="330"/>
      <c r="BL46" s="217"/>
    </row>
    <row r="47" spans="1:64" x14ac:dyDescent="0.35">
      <c r="A47" s="16" t="s">
        <v>359</v>
      </c>
      <c r="B47" s="73">
        <v>5</v>
      </c>
      <c r="C47" s="73">
        <v>5</v>
      </c>
      <c r="D47" s="26">
        <v>1</v>
      </c>
      <c r="E47" s="99">
        <v>152869</v>
      </c>
      <c r="F47" s="34">
        <v>3181312.58</v>
      </c>
      <c r="G47" s="99">
        <v>121</v>
      </c>
      <c r="H47" s="34">
        <v>4904.5</v>
      </c>
      <c r="I47" s="32">
        <v>5</v>
      </c>
      <c r="J47" s="32">
        <v>3</v>
      </c>
      <c r="K47" s="26">
        <v>0.6</v>
      </c>
      <c r="L47" s="26"/>
      <c r="M47" s="73">
        <v>5</v>
      </c>
      <c r="N47" s="73">
        <v>5</v>
      </c>
      <c r="O47" s="26">
        <v>1</v>
      </c>
      <c r="P47" s="34">
        <v>162122</v>
      </c>
      <c r="Q47" s="34">
        <v>3325673.2600000002</v>
      </c>
      <c r="R47" s="99">
        <v>511</v>
      </c>
      <c r="S47" s="34">
        <v>7952.88</v>
      </c>
      <c r="T47" s="32">
        <v>5</v>
      </c>
      <c r="U47" s="32">
        <v>4</v>
      </c>
      <c r="V47" s="26">
        <v>0.8</v>
      </c>
      <c r="W47" s="26"/>
      <c r="X47" s="73">
        <v>5</v>
      </c>
      <c r="Y47" s="73">
        <v>5</v>
      </c>
      <c r="Z47" s="26">
        <v>1</v>
      </c>
      <c r="AA47" s="34">
        <v>149333</v>
      </c>
      <c r="AB47" s="34">
        <v>3258926.5200000005</v>
      </c>
      <c r="AC47" s="99">
        <v>844</v>
      </c>
      <c r="AD47" s="34">
        <v>29084.25</v>
      </c>
      <c r="AE47" s="32">
        <v>9</v>
      </c>
      <c r="AF47" s="32">
        <v>7</v>
      </c>
      <c r="AG47" s="26">
        <v>0.77777777777777779</v>
      </c>
      <c r="AH47" s="26"/>
      <c r="AI47" s="73">
        <v>4</v>
      </c>
      <c r="AJ47" s="73">
        <v>3</v>
      </c>
      <c r="AK47" s="26">
        <v>0.75</v>
      </c>
      <c r="AL47" s="34">
        <v>140300</v>
      </c>
      <c r="AM47" s="34">
        <v>3453312.3400000003</v>
      </c>
      <c r="AN47" s="99">
        <v>229</v>
      </c>
      <c r="AO47" s="34">
        <v>7288.6</v>
      </c>
      <c r="AP47" s="32">
        <v>8</v>
      </c>
      <c r="AQ47" s="32">
        <v>6</v>
      </c>
      <c r="AR47" s="26">
        <v>0.75</v>
      </c>
      <c r="AS47" s="26"/>
      <c r="AT47" s="97">
        <v>4</v>
      </c>
      <c r="AU47" s="97">
        <v>3</v>
      </c>
      <c r="AV47" s="82">
        <f>AU47/AT47</f>
        <v>0.75</v>
      </c>
      <c r="AW47" s="98">
        <v>131705</v>
      </c>
      <c r="AX47" s="89">
        <v>3259866.0999999996</v>
      </c>
      <c r="AY47" s="98">
        <v>211</v>
      </c>
      <c r="AZ47" s="89">
        <v>8445.24</v>
      </c>
      <c r="BA47" s="97">
        <v>8</v>
      </c>
      <c r="BB47" s="97">
        <v>5</v>
      </c>
      <c r="BC47" s="82">
        <f>BB47/BA47</f>
        <v>0.625</v>
      </c>
      <c r="BD47" s="155" t="str">
        <f t="shared" si="0"/>
        <v>OK</v>
      </c>
      <c r="BE47" s="16" t="s">
        <v>359</v>
      </c>
      <c r="BF47" s="330">
        <v>131705</v>
      </c>
      <c r="BG47" s="332">
        <v>3259866.0999999996</v>
      </c>
      <c r="BH47" s="330">
        <v>211</v>
      </c>
      <c r="BI47" s="332">
        <v>8445.24</v>
      </c>
      <c r="BJ47" s="330">
        <v>8</v>
      </c>
      <c r="BK47" s="330">
        <v>5</v>
      </c>
      <c r="BL47" s="217">
        <v>0.625</v>
      </c>
    </row>
    <row r="48" spans="1:64" x14ac:dyDescent="0.35">
      <c r="A48" s="16" t="s">
        <v>30</v>
      </c>
      <c r="B48" s="73">
        <v>10</v>
      </c>
      <c r="C48" s="73">
        <v>4</v>
      </c>
      <c r="D48" s="26">
        <v>0.4</v>
      </c>
      <c r="E48" s="99">
        <v>73764</v>
      </c>
      <c r="F48" s="34">
        <v>43695388.25</v>
      </c>
      <c r="G48" s="99">
        <v>399</v>
      </c>
      <c r="H48" s="34">
        <v>333611.77</v>
      </c>
      <c r="I48" s="32">
        <v>128</v>
      </c>
      <c r="J48" s="32">
        <v>105</v>
      </c>
      <c r="K48" s="26">
        <v>0.8203125</v>
      </c>
      <c r="L48" s="26"/>
      <c r="M48" s="73">
        <v>8</v>
      </c>
      <c r="N48" s="73">
        <v>6</v>
      </c>
      <c r="O48" s="26">
        <v>0.75</v>
      </c>
      <c r="P48" s="34">
        <v>74465</v>
      </c>
      <c r="Q48" s="34">
        <v>47454370.18</v>
      </c>
      <c r="R48" s="99">
        <v>362</v>
      </c>
      <c r="S48" s="34">
        <v>273505.17</v>
      </c>
      <c r="T48" s="32">
        <v>16</v>
      </c>
      <c r="U48" s="32">
        <v>15</v>
      </c>
      <c r="V48" s="26">
        <v>0.9375</v>
      </c>
      <c r="W48" s="26"/>
      <c r="X48" s="73">
        <v>9</v>
      </c>
      <c r="Y48" s="73">
        <v>9</v>
      </c>
      <c r="Z48" s="26">
        <v>1</v>
      </c>
      <c r="AA48" s="34">
        <v>80989</v>
      </c>
      <c r="AB48" s="34">
        <v>46831758.909999996</v>
      </c>
      <c r="AC48" s="99">
        <v>469</v>
      </c>
      <c r="AD48" s="34">
        <v>133191.44</v>
      </c>
      <c r="AE48" s="32">
        <v>16</v>
      </c>
      <c r="AF48" s="32">
        <v>16</v>
      </c>
      <c r="AG48" s="26">
        <v>1</v>
      </c>
      <c r="AH48" s="26"/>
      <c r="AI48" s="73">
        <v>7</v>
      </c>
      <c r="AJ48" s="73">
        <v>7</v>
      </c>
      <c r="AK48" s="26">
        <v>1</v>
      </c>
      <c r="AL48" s="34">
        <v>61305</v>
      </c>
      <c r="AM48" s="34">
        <v>25381695.180000003</v>
      </c>
      <c r="AN48" s="99">
        <v>435</v>
      </c>
      <c r="AO48" s="34">
        <v>90562.79</v>
      </c>
      <c r="AP48" s="32">
        <v>14</v>
      </c>
      <c r="AQ48" s="32">
        <v>13</v>
      </c>
      <c r="AR48" s="26">
        <v>0.9285714285714286</v>
      </c>
      <c r="AS48" s="26"/>
      <c r="AT48" s="97">
        <v>7</v>
      </c>
      <c r="AU48" s="97">
        <v>7</v>
      </c>
      <c r="AV48" s="82">
        <f>AU48/AT48</f>
        <v>1</v>
      </c>
      <c r="AW48" s="98">
        <v>51598</v>
      </c>
      <c r="AX48" s="89">
        <v>18757330.270000003</v>
      </c>
      <c r="AY48" s="98">
        <v>143</v>
      </c>
      <c r="AZ48" s="89">
        <v>93308.41</v>
      </c>
      <c r="BA48" s="97">
        <v>35</v>
      </c>
      <c r="BB48" s="97">
        <v>35</v>
      </c>
      <c r="BC48" s="82">
        <f>BB48/BA48</f>
        <v>1</v>
      </c>
      <c r="BD48" s="155" t="str">
        <f t="shared" si="0"/>
        <v>OK</v>
      </c>
      <c r="BE48" s="16" t="s">
        <v>30</v>
      </c>
      <c r="BF48" s="330">
        <v>51598</v>
      </c>
      <c r="BG48" s="332">
        <v>18757330.270000003</v>
      </c>
      <c r="BH48" s="330">
        <v>143</v>
      </c>
      <c r="BI48" s="332">
        <v>93308.41</v>
      </c>
      <c r="BJ48" s="330">
        <v>35</v>
      </c>
      <c r="BK48" s="330">
        <v>35</v>
      </c>
      <c r="BL48" s="217">
        <v>1</v>
      </c>
    </row>
    <row r="49" spans="1:64" x14ac:dyDescent="0.35">
      <c r="A49" s="16" t="s">
        <v>31</v>
      </c>
      <c r="B49" s="73">
        <v>1</v>
      </c>
      <c r="C49" s="73">
        <v>1</v>
      </c>
      <c r="D49" s="26">
        <v>1</v>
      </c>
      <c r="E49" s="99">
        <v>142</v>
      </c>
      <c r="F49" s="34">
        <v>53759</v>
      </c>
      <c r="G49" s="99">
        <v>0</v>
      </c>
      <c r="H49" s="34">
        <v>0</v>
      </c>
      <c r="I49" s="32">
        <v>3</v>
      </c>
      <c r="J49" s="32">
        <v>3</v>
      </c>
      <c r="K49" s="26">
        <v>1</v>
      </c>
      <c r="L49" s="26"/>
      <c r="M49" s="73">
        <v>1</v>
      </c>
      <c r="N49" s="73">
        <v>1</v>
      </c>
      <c r="O49" s="26">
        <v>1</v>
      </c>
      <c r="P49" s="34">
        <v>178</v>
      </c>
      <c r="Q49" s="34">
        <v>73033</v>
      </c>
      <c r="R49" s="99">
        <v>1</v>
      </c>
      <c r="S49" s="34">
        <v>512</v>
      </c>
      <c r="T49" s="32">
        <v>2</v>
      </c>
      <c r="U49" s="32">
        <v>2</v>
      </c>
      <c r="V49" s="26">
        <v>1</v>
      </c>
      <c r="W49" s="26"/>
      <c r="X49" s="73">
        <v>1</v>
      </c>
      <c r="Y49" s="73">
        <v>0</v>
      </c>
      <c r="Z49" s="26">
        <v>0</v>
      </c>
      <c r="AA49" s="34">
        <v>132</v>
      </c>
      <c r="AB49" s="34">
        <v>50595</v>
      </c>
      <c r="AC49" s="99">
        <v>1</v>
      </c>
      <c r="AD49" s="34">
        <v>15</v>
      </c>
      <c r="AE49" s="32">
        <v>2</v>
      </c>
      <c r="AF49" s="32">
        <v>1</v>
      </c>
      <c r="AG49" s="26">
        <v>0.5</v>
      </c>
      <c r="AH49" s="26"/>
      <c r="AI49" s="73">
        <v>1</v>
      </c>
      <c r="AJ49" s="73">
        <v>1</v>
      </c>
      <c r="AK49" s="26">
        <v>1</v>
      </c>
      <c r="AL49" s="34">
        <v>138</v>
      </c>
      <c r="AM49" s="34">
        <v>52125</v>
      </c>
      <c r="AN49" s="99">
        <v>2</v>
      </c>
      <c r="AO49" s="34">
        <v>615</v>
      </c>
      <c r="AP49" s="32">
        <v>2</v>
      </c>
      <c r="AQ49" s="32">
        <v>2</v>
      </c>
      <c r="AR49" s="26">
        <v>1</v>
      </c>
      <c r="AS49" s="26"/>
      <c r="AT49" s="97">
        <v>1</v>
      </c>
      <c r="AU49" s="97">
        <v>1</v>
      </c>
      <c r="AV49" s="82">
        <f>AU49/AT49</f>
        <v>1</v>
      </c>
      <c r="AW49" s="98"/>
      <c r="AX49" s="89"/>
      <c r="AY49" s="98"/>
      <c r="AZ49" s="89"/>
      <c r="BA49" s="97">
        <v>2</v>
      </c>
      <c r="BB49" s="97">
        <v>2</v>
      </c>
      <c r="BC49" s="82">
        <f>BB49/BA49</f>
        <v>1</v>
      </c>
      <c r="BD49" s="155" t="str">
        <f t="shared" si="0"/>
        <v>OK</v>
      </c>
      <c r="BE49" s="16" t="s">
        <v>31</v>
      </c>
      <c r="BF49" s="330"/>
      <c r="BG49" s="332"/>
      <c r="BH49" s="330"/>
      <c r="BI49" s="332"/>
      <c r="BJ49" s="330">
        <v>2</v>
      </c>
      <c r="BK49" s="330">
        <v>2</v>
      </c>
      <c r="BL49" s="217">
        <v>1</v>
      </c>
    </row>
    <row r="50" spans="1:64" x14ac:dyDescent="0.35">
      <c r="A50" s="16" t="s">
        <v>32</v>
      </c>
      <c r="B50" s="73">
        <v>2</v>
      </c>
      <c r="C50" s="73">
        <v>2</v>
      </c>
      <c r="D50" s="26">
        <v>1</v>
      </c>
      <c r="E50" s="99">
        <v>21609</v>
      </c>
      <c r="F50" s="34">
        <v>4971768.0999999996</v>
      </c>
      <c r="G50" s="99">
        <v>590</v>
      </c>
      <c r="H50" s="34">
        <v>120419.92</v>
      </c>
      <c r="I50" s="32">
        <v>4</v>
      </c>
      <c r="J50" s="32">
        <v>3</v>
      </c>
      <c r="K50" s="26">
        <v>0.75</v>
      </c>
      <c r="L50" s="26"/>
      <c r="M50" s="73">
        <v>8</v>
      </c>
      <c r="N50" s="73">
        <v>6</v>
      </c>
      <c r="O50" s="26">
        <v>0.75</v>
      </c>
      <c r="P50" s="34">
        <v>25758</v>
      </c>
      <c r="Q50" s="34">
        <v>6011516.4899999993</v>
      </c>
      <c r="R50" s="99">
        <v>572</v>
      </c>
      <c r="S50" s="34">
        <v>110842.5</v>
      </c>
      <c r="T50" s="32">
        <v>4</v>
      </c>
      <c r="U50" s="32">
        <v>3</v>
      </c>
      <c r="V50" s="26">
        <v>0.75</v>
      </c>
      <c r="W50" s="26"/>
      <c r="X50" s="73">
        <v>7</v>
      </c>
      <c r="Y50" s="73">
        <v>3</v>
      </c>
      <c r="Z50" s="26">
        <v>0.42857142857142855</v>
      </c>
      <c r="AA50" s="34">
        <v>23600</v>
      </c>
      <c r="AB50" s="34">
        <v>4396134.1999999993</v>
      </c>
      <c r="AC50" s="99">
        <v>550</v>
      </c>
      <c r="AD50" s="34">
        <v>86402.010000000009</v>
      </c>
      <c r="AE50" s="32">
        <v>79</v>
      </c>
      <c r="AF50" s="32">
        <v>38</v>
      </c>
      <c r="AG50" s="26">
        <v>0.48101265822784811</v>
      </c>
      <c r="AH50" s="26"/>
      <c r="AI50" s="73">
        <v>3</v>
      </c>
      <c r="AJ50" s="73">
        <v>2</v>
      </c>
      <c r="AK50" s="26">
        <v>0.66666666666666663</v>
      </c>
      <c r="AL50" s="34">
        <v>16806</v>
      </c>
      <c r="AM50" s="34">
        <v>2700059.15</v>
      </c>
      <c r="AN50" s="99">
        <v>356</v>
      </c>
      <c r="AO50" s="34">
        <v>48741.21</v>
      </c>
      <c r="AP50" s="32">
        <v>69</v>
      </c>
      <c r="AQ50" s="32">
        <v>41</v>
      </c>
      <c r="AR50" s="26">
        <v>0.59420289855072461</v>
      </c>
      <c r="AS50" s="26"/>
      <c r="AT50" s="97">
        <v>3</v>
      </c>
      <c r="AU50" s="97">
        <v>2</v>
      </c>
      <c r="AV50" s="82">
        <f>AU50/AT50</f>
        <v>0.66666666666666663</v>
      </c>
      <c r="AW50" s="98">
        <v>4387</v>
      </c>
      <c r="AX50" s="89">
        <v>2038581.0499999998</v>
      </c>
      <c r="AY50" s="98">
        <v>224</v>
      </c>
      <c r="AZ50" s="89">
        <v>137710.47000000003</v>
      </c>
      <c r="BA50" s="97">
        <v>33</v>
      </c>
      <c r="BB50" s="97">
        <v>33</v>
      </c>
      <c r="BC50" s="82">
        <f>BB50/BA50</f>
        <v>1</v>
      </c>
      <c r="BD50" s="155" t="str">
        <f t="shared" si="0"/>
        <v>OK</v>
      </c>
      <c r="BE50" s="16" t="s">
        <v>32</v>
      </c>
      <c r="BF50" s="330">
        <v>4387</v>
      </c>
      <c r="BG50" s="332">
        <v>2038581.0499999998</v>
      </c>
      <c r="BH50" s="330">
        <v>224</v>
      </c>
      <c r="BI50" s="332">
        <v>137710.47000000003</v>
      </c>
      <c r="BJ50" s="330">
        <v>33</v>
      </c>
      <c r="BK50" s="330">
        <v>33</v>
      </c>
      <c r="BL50" s="217">
        <v>1</v>
      </c>
    </row>
    <row r="51" spans="1:64" x14ac:dyDescent="0.35">
      <c r="A51" s="16" t="s">
        <v>33</v>
      </c>
      <c r="B51" s="73">
        <v>56</v>
      </c>
      <c r="C51" s="73">
        <v>42</v>
      </c>
      <c r="D51" s="26">
        <v>0.75</v>
      </c>
      <c r="E51" s="99">
        <v>1216259</v>
      </c>
      <c r="F51" s="34">
        <v>14897130.689999996</v>
      </c>
      <c r="G51" s="99">
        <v>2099</v>
      </c>
      <c r="H51" s="34">
        <v>274741.82</v>
      </c>
      <c r="I51" s="32">
        <v>48</v>
      </c>
      <c r="J51" s="32">
        <v>21</v>
      </c>
      <c r="K51" s="26">
        <v>0.4375</v>
      </c>
      <c r="L51" s="26"/>
      <c r="M51" s="73">
        <v>54</v>
      </c>
      <c r="N51" s="73">
        <v>52</v>
      </c>
      <c r="O51" s="26">
        <v>0.96296296296296291</v>
      </c>
      <c r="P51" s="34">
        <v>1258413</v>
      </c>
      <c r="Q51" s="34">
        <v>17671264.09</v>
      </c>
      <c r="R51" s="99">
        <v>1637</v>
      </c>
      <c r="S51" s="34">
        <v>307182.18999999989</v>
      </c>
      <c r="T51" s="32">
        <v>49</v>
      </c>
      <c r="U51" s="32">
        <v>23</v>
      </c>
      <c r="V51" s="26">
        <v>0.46938775510204084</v>
      </c>
      <c r="W51" s="26"/>
      <c r="X51" s="73">
        <v>50</v>
      </c>
      <c r="Y51" s="73">
        <v>47</v>
      </c>
      <c r="Z51" s="26">
        <v>0.94</v>
      </c>
      <c r="AA51" s="34">
        <v>1242335</v>
      </c>
      <c r="AB51" s="34">
        <v>16636398.400000004</v>
      </c>
      <c r="AC51" s="99">
        <v>1344</v>
      </c>
      <c r="AD51" s="34">
        <v>289031.95000000007</v>
      </c>
      <c r="AE51" s="32">
        <v>40</v>
      </c>
      <c r="AF51" s="32">
        <v>20</v>
      </c>
      <c r="AG51" s="26">
        <v>0.5</v>
      </c>
      <c r="AH51" s="26"/>
      <c r="AI51" s="73">
        <v>55</v>
      </c>
      <c r="AJ51" s="73">
        <v>48</v>
      </c>
      <c r="AK51" s="26">
        <v>0.87272727272727268</v>
      </c>
      <c r="AL51" s="34">
        <v>955328</v>
      </c>
      <c r="AM51" s="34">
        <v>13358086.08</v>
      </c>
      <c r="AN51" s="99">
        <v>6125</v>
      </c>
      <c r="AO51" s="34">
        <v>824949.28999999992</v>
      </c>
      <c r="AP51" s="32">
        <v>44</v>
      </c>
      <c r="AQ51" s="32">
        <v>40</v>
      </c>
      <c r="AR51" s="26">
        <v>0.90909090909090906</v>
      </c>
      <c r="AS51" s="26"/>
      <c r="AT51" s="97">
        <v>62</v>
      </c>
      <c r="AU51" s="97">
        <v>57</v>
      </c>
      <c r="AV51" s="82">
        <f>AU51/AT51</f>
        <v>0.91935483870967738</v>
      </c>
      <c r="AW51" s="98">
        <v>116719</v>
      </c>
      <c r="AX51" s="89">
        <v>3631519.4899999993</v>
      </c>
      <c r="AY51" s="98">
        <v>2565</v>
      </c>
      <c r="AZ51" s="89">
        <v>162102.35</v>
      </c>
      <c r="BA51" s="97">
        <v>152</v>
      </c>
      <c r="BB51" s="97">
        <v>150</v>
      </c>
      <c r="BC51" s="82">
        <f>BB51/BA51</f>
        <v>0.98684210526315785</v>
      </c>
      <c r="BD51" s="155" t="str">
        <f t="shared" si="0"/>
        <v>OK</v>
      </c>
      <c r="BE51" s="16" t="s">
        <v>33</v>
      </c>
      <c r="BF51" s="330">
        <v>116719</v>
      </c>
      <c r="BG51" s="332">
        <v>3631519.4899999993</v>
      </c>
      <c r="BH51" s="330">
        <v>2565</v>
      </c>
      <c r="BI51" s="332">
        <v>162102.35</v>
      </c>
      <c r="BJ51" s="330">
        <v>152</v>
      </c>
      <c r="BK51" s="330">
        <v>150</v>
      </c>
      <c r="BL51" s="217">
        <v>0.98684210526315785</v>
      </c>
    </row>
    <row r="52" spans="1:64" x14ac:dyDescent="0.35">
      <c r="A52" s="16"/>
      <c r="B52" s="32"/>
      <c r="C52" s="32"/>
      <c r="D52" s="33"/>
      <c r="E52" s="16"/>
      <c r="F52" s="16"/>
      <c r="G52" s="16"/>
      <c r="H52" s="16"/>
      <c r="I52" s="32"/>
      <c r="J52" s="32"/>
      <c r="K52" s="33"/>
      <c r="L52" s="33"/>
      <c r="M52" s="32"/>
      <c r="N52" s="32"/>
      <c r="O52" s="33"/>
      <c r="P52" s="16"/>
      <c r="Q52" s="16"/>
      <c r="R52" s="16"/>
      <c r="S52" s="16"/>
      <c r="T52" s="32"/>
      <c r="U52" s="32"/>
      <c r="V52" s="33"/>
      <c r="W52" s="33"/>
      <c r="X52" s="32"/>
      <c r="Y52" s="32"/>
      <c r="Z52" s="33"/>
      <c r="AA52" s="16"/>
      <c r="AB52" s="16"/>
      <c r="AC52" s="16"/>
      <c r="AD52" s="16"/>
      <c r="AE52" s="32"/>
      <c r="AF52" s="32"/>
      <c r="AG52" s="33"/>
      <c r="AH52" s="33"/>
      <c r="AI52" s="32"/>
      <c r="AJ52" s="32"/>
      <c r="AK52" s="33"/>
      <c r="AL52" s="16"/>
      <c r="AM52" s="16"/>
      <c r="AN52" s="16"/>
      <c r="AO52" s="16"/>
      <c r="AP52" s="32"/>
      <c r="AQ52" s="32"/>
      <c r="AR52" s="33"/>
      <c r="AS52" s="33"/>
      <c r="AT52" s="32"/>
      <c r="AU52" s="32"/>
      <c r="AV52" s="33"/>
      <c r="AW52" s="16"/>
      <c r="AX52" s="16"/>
      <c r="AY52" s="16"/>
      <c r="AZ52" s="16"/>
      <c r="BA52" s="32"/>
      <c r="BB52" s="32"/>
      <c r="BC52" s="84"/>
      <c r="BD52" s="155"/>
      <c r="BE52" s="16"/>
      <c r="BG52" s="333"/>
      <c r="BI52" s="333"/>
    </row>
    <row r="53" spans="1:64" ht="15" thickBot="1" x14ac:dyDescent="0.4">
      <c r="A53" s="25" t="s">
        <v>113</v>
      </c>
      <c r="B53" s="28">
        <v>512</v>
      </c>
      <c r="C53" s="28">
        <v>402</v>
      </c>
      <c r="D53" s="27">
        <v>0.78515625</v>
      </c>
      <c r="E53" s="28">
        <v>3135445</v>
      </c>
      <c r="F53" s="35">
        <v>249876790.96999994</v>
      </c>
      <c r="G53" s="28">
        <v>9289</v>
      </c>
      <c r="H53" s="35">
        <v>2347287.4700000002</v>
      </c>
      <c r="I53" s="28">
        <v>1508</v>
      </c>
      <c r="J53" s="28">
        <v>1009</v>
      </c>
      <c r="K53" s="27">
        <v>0.66909814323607431</v>
      </c>
      <c r="L53" s="296"/>
      <c r="M53" s="28">
        <v>528</v>
      </c>
      <c r="N53" s="28">
        <v>431</v>
      </c>
      <c r="O53" s="27">
        <v>0.81628787878787878</v>
      </c>
      <c r="P53" s="35">
        <v>3240700</v>
      </c>
      <c r="Q53" s="35">
        <v>282596116.08000004</v>
      </c>
      <c r="R53" s="28">
        <v>11025</v>
      </c>
      <c r="S53" s="35">
        <v>2491210.1699999995</v>
      </c>
      <c r="T53" s="28">
        <v>1380</v>
      </c>
      <c r="U53" s="28">
        <v>889</v>
      </c>
      <c r="V53" s="27">
        <v>0.64420289855072466</v>
      </c>
      <c r="W53" s="296"/>
      <c r="X53" s="28">
        <v>522</v>
      </c>
      <c r="Y53" s="28">
        <v>436</v>
      </c>
      <c r="Z53" s="27">
        <v>0.83524904214559392</v>
      </c>
      <c r="AA53" s="35">
        <v>3353702</v>
      </c>
      <c r="AB53" s="35">
        <v>305196543.88</v>
      </c>
      <c r="AC53" s="28">
        <v>11239</v>
      </c>
      <c r="AD53" s="35">
        <v>2396525.3400000003</v>
      </c>
      <c r="AE53" s="28">
        <v>1450</v>
      </c>
      <c r="AF53" s="28">
        <v>955</v>
      </c>
      <c r="AG53" s="27">
        <v>0.6586206896551724</v>
      </c>
      <c r="AH53" s="296"/>
      <c r="AI53" s="28">
        <v>554</v>
      </c>
      <c r="AJ53" s="28">
        <v>475</v>
      </c>
      <c r="AK53" s="27">
        <v>0.85740072202166062</v>
      </c>
      <c r="AL53" s="35">
        <v>2807717</v>
      </c>
      <c r="AM53" s="35">
        <v>248685002.66999993</v>
      </c>
      <c r="AN53" s="28">
        <v>27878</v>
      </c>
      <c r="AO53" s="35">
        <v>4966353.8500000006</v>
      </c>
      <c r="AP53" s="28">
        <v>963</v>
      </c>
      <c r="AQ53" s="28">
        <v>718</v>
      </c>
      <c r="AR53" s="27">
        <v>0.74558670820353068</v>
      </c>
      <c r="AS53" s="296"/>
      <c r="AT53" s="311">
        <f>SUM(AT6:AT51)</f>
        <v>430</v>
      </c>
      <c r="AU53" s="311">
        <f>SUM(AU6:AU51)</f>
        <v>346</v>
      </c>
      <c r="AV53" s="83">
        <f>AU53/AT53</f>
        <v>0.8046511627906977</v>
      </c>
      <c r="AW53" s="309">
        <f>SUM(AW6:AW51)</f>
        <v>1802355</v>
      </c>
      <c r="AX53" s="309">
        <f t="shared" ref="AX53:AZ53" si="7">SUM(AX6:AX51)</f>
        <v>225408103.6500001</v>
      </c>
      <c r="AY53" s="309">
        <f t="shared" si="7"/>
        <v>43853</v>
      </c>
      <c r="AZ53" s="309">
        <f t="shared" si="7"/>
        <v>12336657.250000004</v>
      </c>
      <c r="BA53" s="309">
        <f>SUM(BA6:BA51)</f>
        <v>1006</v>
      </c>
      <c r="BB53" s="309">
        <f>SUM(BB6:BB51)</f>
        <v>826</v>
      </c>
      <c r="BC53" s="83">
        <f>BB53/BA53</f>
        <v>0.82107355864811138</v>
      </c>
      <c r="BD53" s="155"/>
      <c r="BE53" s="25" t="s">
        <v>113</v>
      </c>
      <c r="BF53" s="334">
        <v>1802355</v>
      </c>
      <c r="BG53" s="335">
        <v>225408103.6500001</v>
      </c>
      <c r="BH53" s="336">
        <v>43853</v>
      </c>
      <c r="BI53" s="335">
        <v>12336657.250000004</v>
      </c>
      <c r="BJ53" s="336">
        <v>1006</v>
      </c>
      <c r="BK53" s="336">
        <v>826</v>
      </c>
      <c r="BL53" s="337">
        <v>0.82107355864811138</v>
      </c>
    </row>
    <row r="54" spans="1:64" ht="15" thickTop="1" x14ac:dyDescent="0.35">
      <c r="BE54" s="221"/>
      <c r="BF54" s="222"/>
    </row>
    <row r="55" spans="1:64" x14ac:dyDescent="0.35">
      <c r="BE55" s="221"/>
      <c r="BF55" s="222"/>
    </row>
    <row r="56" spans="1:64" x14ac:dyDescent="0.35">
      <c r="BE56" s="221"/>
      <c r="BF56" s="222"/>
    </row>
    <row r="57" spans="1:64" x14ac:dyDescent="0.35">
      <c r="BE57" s="221"/>
      <c r="BF57" s="222"/>
    </row>
    <row r="58" spans="1:64" x14ac:dyDescent="0.35">
      <c r="BE58" s="221"/>
      <c r="BF58" s="222"/>
    </row>
    <row r="59" spans="1:64" x14ac:dyDescent="0.35">
      <c r="BE59" s="221"/>
      <c r="BF59" s="222"/>
    </row>
    <row r="60" spans="1:64" x14ac:dyDescent="0.35">
      <c r="BE60" s="221"/>
      <c r="BF60" s="222"/>
    </row>
    <row r="61" spans="1:64" x14ac:dyDescent="0.35">
      <c r="BE61" s="221"/>
      <c r="BF61" s="222"/>
    </row>
    <row r="62" spans="1:64" x14ac:dyDescent="0.35">
      <c r="BE62" s="221"/>
      <c r="BF62" s="222"/>
    </row>
    <row r="63" spans="1:64" x14ac:dyDescent="0.35">
      <c r="BE63" s="221"/>
      <c r="BF63" s="222"/>
    </row>
    <row r="64" spans="1:64" x14ac:dyDescent="0.35">
      <c r="BE64" s="221"/>
      <c r="BF64" s="222"/>
    </row>
    <row r="65" spans="57:58" x14ac:dyDescent="0.35">
      <c r="BE65" s="221"/>
      <c r="BF65" s="222"/>
    </row>
    <row r="66" spans="57:58" x14ac:dyDescent="0.35">
      <c r="BE66" s="221"/>
      <c r="BF66" s="222"/>
    </row>
    <row r="67" spans="57:58" x14ac:dyDescent="0.35">
      <c r="BE67" s="221"/>
      <c r="BF67" s="222"/>
    </row>
    <row r="68" spans="57:58" x14ac:dyDescent="0.35">
      <c r="BE68" s="221"/>
      <c r="BF68" s="222"/>
    </row>
    <row r="69" spans="57:58" x14ac:dyDescent="0.35">
      <c r="BE69" s="221"/>
      <c r="BF69" s="222"/>
    </row>
    <row r="70" spans="57:58" x14ac:dyDescent="0.35">
      <c r="BE70" s="221"/>
      <c r="BF70" s="222"/>
    </row>
    <row r="71" spans="57:58" x14ac:dyDescent="0.35">
      <c r="BE71" s="221"/>
      <c r="BF71" s="222"/>
    </row>
    <row r="72" spans="57:58" x14ac:dyDescent="0.35">
      <c r="BE72" s="221"/>
      <c r="BF72" s="222"/>
    </row>
    <row r="73" spans="57:58" x14ac:dyDescent="0.35">
      <c r="BE73" s="221"/>
      <c r="BF73" s="222"/>
    </row>
    <row r="74" spans="57:58" x14ac:dyDescent="0.35">
      <c r="BE74" s="221"/>
      <c r="BF74" s="222"/>
    </row>
    <row r="75" spans="57:58" x14ac:dyDescent="0.35">
      <c r="BE75" s="221"/>
      <c r="BF75" s="222"/>
    </row>
    <row r="76" spans="57:58" x14ac:dyDescent="0.35">
      <c r="BE76" s="221"/>
      <c r="BF76" s="222"/>
    </row>
    <row r="77" spans="57:58" x14ac:dyDescent="0.35">
      <c r="BE77" s="221"/>
      <c r="BF77" s="222"/>
    </row>
    <row r="78" spans="57:58" x14ac:dyDescent="0.35">
      <c r="BE78" s="221"/>
      <c r="BF78" s="222"/>
    </row>
    <row r="79" spans="57:58" x14ac:dyDescent="0.35">
      <c r="BE79" s="221"/>
      <c r="BF79" s="222"/>
    </row>
    <row r="80" spans="57:58" x14ac:dyDescent="0.35">
      <c r="BE80" s="221"/>
      <c r="BF80" s="222"/>
    </row>
    <row r="81" spans="57:58" x14ac:dyDescent="0.35">
      <c r="BE81" s="221"/>
      <c r="BF81" s="222"/>
    </row>
    <row r="82" spans="57:58" x14ac:dyDescent="0.35">
      <c r="BE82" s="221"/>
      <c r="BF82" s="222"/>
    </row>
    <row r="83" spans="57:58" x14ac:dyDescent="0.35">
      <c r="BE83" s="221"/>
      <c r="BF83" s="222"/>
    </row>
    <row r="84" spans="57:58" x14ac:dyDescent="0.35">
      <c r="BE84" s="221"/>
      <c r="BF84" s="222"/>
    </row>
    <row r="85" spans="57:58" x14ac:dyDescent="0.35">
      <c r="BE85" s="221"/>
      <c r="BF85" s="222"/>
    </row>
    <row r="86" spans="57:58" x14ac:dyDescent="0.35">
      <c r="BE86" s="221"/>
      <c r="BF86" s="222"/>
    </row>
    <row r="87" spans="57:58" x14ac:dyDescent="0.35">
      <c r="BE87" s="221"/>
      <c r="BF87" s="222"/>
    </row>
    <row r="88" spans="57:58" x14ac:dyDescent="0.35">
      <c r="BE88" s="221"/>
      <c r="BF88" s="222"/>
    </row>
    <row r="89" spans="57:58" x14ac:dyDescent="0.35">
      <c r="BE89" s="221"/>
      <c r="BF89" s="222"/>
    </row>
    <row r="90" spans="57:58" x14ac:dyDescent="0.35">
      <c r="BE90" s="221"/>
      <c r="BF90" s="222"/>
    </row>
    <row r="91" spans="57:58" x14ac:dyDescent="0.35">
      <c r="BE91" s="221"/>
      <c r="BF91" s="222"/>
    </row>
    <row r="92" spans="57:58" x14ac:dyDescent="0.35">
      <c r="BE92" s="221"/>
      <c r="BF92" s="222"/>
    </row>
    <row r="93" spans="57:58" x14ac:dyDescent="0.35">
      <c r="BE93" s="221"/>
      <c r="BF93" s="222"/>
    </row>
    <row r="94" spans="57:58" x14ac:dyDescent="0.35">
      <c r="BE94" s="221"/>
      <c r="BF94" s="222"/>
    </row>
    <row r="95" spans="57:58" x14ac:dyDescent="0.35">
      <c r="BE95" s="221"/>
      <c r="BF95" s="222"/>
    </row>
    <row r="96" spans="57:58" x14ac:dyDescent="0.35">
      <c r="BE96" s="221"/>
      <c r="BF96" s="222"/>
    </row>
    <row r="97" spans="57:58" x14ac:dyDescent="0.35">
      <c r="BE97" s="221"/>
      <c r="BF97" s="222"/>
    </row>
    <row r="98" spans="57:58" x14ac:dyDescent="0.35">
      <c r="BE98" s="221"/>
      <c r="BF98" s="222"/>
    </row>
    <row r="99" spans="57:58" x14ac:dyDescent="0.35">
      <c r="BE99" s="221"/>
      <c r="BF99" s="222"/>
    </row>
    <row r="100" spans="57:58" x14ac:dyDescent="0.35">
      <c r="BE100" s="221"/>
      <c r="BF100" s="222"/>
    </row>
    <row r="101" spans="57:58" x14ac:dyDescent="0.35">
      <c r="BE101" s="221"/>
      <c r="BF101" s="222"/>
    </row>
    <row r="102" spans="57:58" x14ac:dyDescent="0.35">
      <c r="BE102" s="221"/>
      <c r="BF102" s="222"/>
    </row>
    <row r="103" spans="57:58" x14ac:dyDescent="0.35">
      <c r="BE103" s="221"/>
      <c r="BF103" s="222"/>
    </row>
    <row r="104" spans="57:58" x14ac:dyDescent="0.35">
      <c r="BE104" s="221"/>
      <c r="BF104" s="222"/>
    </row>
  </sheetData>
  <sortState ref="A6:BC51">
    <sortCondition ref="A6"/>
  </sortState>
  <mergeCells count="15">
    <mergeCell ref="BA3:BC3"/>
    <mergeCell ref="T3:V3"/>
    <mergeCell ref="X3:Z3"/>
    <mergeCell ref="AT3:AV3"/>
    <mergeCell ref="AA3:AD3"/>
    <mergeCell ref="AE3:AG3"/>
    <mergeCell ref="AW3:AZ3"/>
    <mergeCell ref="AI3:AK3"/>
    <mergeCell ref="AL3:AO3"/>
    <mergeCell ref="AP3:AR3"/>
    <mergeCell ref="P3:S3"/>
    <mergeCell ref="B3:D3"/>
    <mergeCell ref="E3:H3"/>
    <mergeCell ref="I3:K3"/>
    <mergeCell ref="M3:O3"/>
  </mergeCells>
  <pageMargins left="0.7" right="0.7" top="0.75" bottom="0.75" header="0.3" footer="0.3"/>
  <pageSetup orientation="portrait" r:id="rId1"/>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X54"/>
  <sheetViews>
    <sheetView zoomScaleNormal="100" workbookViewId="0">
      <pane xSplit="1" ySplit="5" topLeftCell="R45" activePane="bottomRight" state="frozen"/>
      <selection activeCell="D5" sqref="D5:E5"/>
      <selection pane="topRight" activeCell="D5" sqref="D5:E5"/>
      <selection pane="bottomLeft" activeCell="D5" sqref="D5:E5"/>
      <selection pane="bottomRight" activeCell="D5" sqref="D5:E5"/>
    </sheetView>
  </sheetViews>
  <sheetFormatPr defaultRowHeight="14.5" x14ac:dyDescent="0.35"/>
  <cols>
    <col min="1" max="1" width="49.26953125" bestFit="1" customWidth="1"/>
    <col min="2" max="2" width="10.81640625" customWidth="1"/>
    <col min="5" max="5" width="1.7265625" customWidth="1"/>
    <col min="6" max="6" width="10.81640625" customWidth="1"/>
    <col min="9" max="9" width="1.7265625" customWidth="1"/>
    <col min="10" max="10" width="10.81640625" customWidth="1"/>
    <col min="13" max="13" width="1.7265625" customWidth="1"/>
    <col min="14" max="14" width="10.81640625" customWidth="1"/>
    <col min="17" max="17" width="1.7265625" customWidth="1"/>
    <col min="18" max="18" width="10.81640625" customWidth="1"/>
    <col min="22" max="22" width="31.7265625" customWidth="1"/>
    <col min="23" max="23" width="27.1796875" customWidth="1"/>
    <col min="24" max="24" width="25.7265625" customWidth="1"/>
  </cols>
  <sheetData>
    <row r="1" spans="1:24" x14ac:dyDescent="0.35">
      <c r="A1" s="29">
        <v>1</v>
      </c>
      <c r="B1" s="29">
        <v>2</v>
      </c>
      <c r="C1" s="29">
        <v>3</v>
      </c>
      <c r="D1" s="29">
        <v>4</v>
      </c>
      <c r="E1" s="29">
        <v>5</v>
      </c>
      <c r="F1" s="29">
        <v>6</v>
      </c>
      <c r="G1" s="29">
        <v>7</v>
      </c>
      <c r="H1" s="29">
        <v>8</v>
      </c>
      <c r="I1" s="29">
        <v>9</v>
      </c>
      <c r="J1" s="29">
        <v>10</v>
      </c>
      <c r="K1" s="29">
        <v>11</v>
      </c>
      <c r="L1" s="29">
        <v>12</v>
      </c>
      <c r="M1" s="29">
        <v>13</v>
      </c>
      <c r="N1" s="29">
        <v>14</v>
      </c>
      <c r="O1" s="29">
        <v>15</v>
      </c>
      <c r="P1" s="29">
        <v>16</v>
      </c>
      <c r="Q1" s="29">
        <v>17</v>
      </c>
      <c r="R1" s="29">
        <v>18</v>
      </c>
      <c r="S1" s="29">
        <v>19</v>
      </c>
      <c r="T1" s="29">
        <v>20</v>
      </c>
    </row>
    <row r="2" spans="1:24" x14ac:dyDescent="0.35">
      <c r="A2" s="16"/>
      <c r="B2" s="76"/>
      <c r="C2" s="67"/>
      <c r="D2" s="67"/>
      <c r="E2" s="92"/>
      <c r="F2" s="76"/>
      <c r="G2" s="67"/>
      <c r="H2" s="67"/>
      <c r="I2" s="92"/>
      <c r="J2" s="76"/>
      <c r="K2" s="67"/>
      <c r="L2" s="67"/>
      <c r="M2" s="92"/>
      <c r="N2" s="76"/>
      <c r="O2" s="67"/>
      <c r="P2" s="67"/>
      <c r="Q2" s="92"/>
      <c r="R2" s="76"/>
      <c r="S2" s="67"/>
      <c r="T2" s="67"/>
    </row>
    <row r="3" spans="1:24" ht="45" customHeight="1" x14ac:dyDescent="0.35">
      <c r="A3" s="16"/>
      <c r="B3" s="300" t="s">
        <v>114</v>
      </c>
      <c r="C3" s="427" t="s">
        <v>199</v>
      </c>
      <c r="D3" s="427"/>
      <c r="E3" s="299"/>
      <c r="F3" s="300" t="s">
        <v>114</v>
      </c>
      <c r="G3" s="427" t="s">
        <v>199</v>
      </c>
      <c r="H3" s="427"/>
      <c r="I3" s="299"/>
      <c r="J3" s="300" t="s">
        <v>114</v>
      </c>
      <c r="K3" s="427" t="s">
        <v>199</v>
      </c>
      <c r="L3" s="427"/>
      <c r="M3" s="299"/>
      <c r="N3" s="300" t="s">
        <v>114</v>
      </c>
      <c r="O3" s="427" t="s">
        <v>199</v>
      </c>
      <c r="P3" s="427"/>
      <c r="Q3" s="299"/>
      <c r="R3" s="300" t="s">
        <v>114</v>
      </c>
      <c r="S3" s="427" t="s">
        <v>199</v>
      </c>
      <c r="T3" s="427"/>
    </row>
    <row r="4" spans="1:24" x14ac:dyDescent="0.35">
      <c r="A4" s="16"/>
      <c r="B4" s="77">
        <v>2017</v>
      </c>
      <c r="C4" s="15">
        <v>2017</v>
      </c>
      <c r="D4" s="15">
        <v>2017</v>
      </c>
      <c r="E4" s="15"/>
      <c r="F4" s="77">
        <v>2018</v>
      </c>
      <c r="G4" s="15">
        <v>2018</v>
      </c>
      <c r="H4" s="15">
        <v>2018</v>
      </c>
      <c r="I4" s="15"/>
      <c r="J4" s="77">
        <v>2019</v>
      </c>
      <c r="K4" s="15">
        <v>2019</v>
      </c>
      <c r="L4" s="15">
        <v>2019</v>
      </c>
      <c r="M4" s="15"/>
      <c r="N4" s="77">
        <v>2020</v>
      </c>
      <c r="O4" s="15">
        <v>2020</v>
      </c>
      <c r="P4" s="15">
        <v>2020</v>
      </c>
      <c r="Q4" s="15"/>
      <c r="R4" s="77">
        <v>2021</v>
      </c>
      <c r="S4" s="77">
        <v>2021</v>
      </c>
      <c r="T4" s="77">
        <v>2021</v>
      </c>
    </row>
    <row r="5" spans="1:24" ht="26.5" x14ac:dyDescent="0.35">
      <c r="A5" s="39" t="s">
        <v>36</v>
      </c>
      <c r="B5" s="78" t="s">
        <v>39</v>
      </c>
      <c r="C5" s="40" t="s">
        <v>39</v>
      </c>
      <c r="D5" s="40" t="s">
        <v>43</v>
      </c>
      <c r="E5" s="40"/>
      <c r="F5" s="78" t="s">
        <v>39</v>
      </c>
      <c r="G5" s="40" t="s">
        <v>39</v>
      </c>
      <c r="H5" s="40" t="s">
        <v>43</v>
      </c>
      <c r="I5" s="40"/>
      <c r="J5" s="78" t="s">
        <v>39</v>
      </c>
      <c r="K5" s="40" t="s">
        <v>39</v>
      </c>
      <c r="L5" s="40" t="s">
        <v>43</v>
      </c>
      <c r="M5" s="40"/>
      <c r="N5" s="78" t="s">
        <v>39</v>
      </c>
      <c r="O5" s="40" t="s">
        <v>39</v>
      </c>
      <c r="P5" s="40" t="s">
        <v>43</v>
      </c>
      <c r="Q5" s="40"/>
      <c r="R5" s="78" t="s">
        <v>39</v>
      </c>
      <c r="S5" s="40" t="s">
        <v>39</v>
      </c>
      <c r="T5" s="40" t="s">
        <v>43</v>
      </c>
      <c r="V5" s="219" t="s">
        <v>303</v>
      </c>
      <c r="W5" s="220" t="s">
        <v>304</v>
      </c>
      <c r="X5" s="220" t="s">
        <v>305</v>
      </c>
    </row>
    <row r="6" spans="1:24" x14ac:dyDescent="0.35">
      <c r="A6" s="16" t="s">
        <v>345</v>
      </c>
      <c r="B6" s="73">
        <v>4</v>
      </c>
      <c r="C6" s="81">
        <v>3</v>
      </c>
      <c r="D6" s="26">
        <v>0.75</v>
      </c>
      <c r="E6" s="26"/>
      <c r="F6" s="73">
        <v>10</v>
      </c>
      <c r="G6" s="81">
        <v>5</v>
      </c>
      <c r="H6" s="26">
        <v>0.5</v>
      </c>
      <c r="I6" s="26"/>
      <c r="J6" s="73">
        <v>12</v>
      </c>
      <c r="K6" s="81">
        <v>5</v>
      </c>
      <c r="L6" s="26">
        <v>0.41666666666666669</v>
      </c>
      <c r="M6" s="26"/>
      <c r="N6" s="73">
        <v>18</v>
      </c>
      <c r="O6" s="81">
        <v>9</v>
      </c>
      <c r="P6" s="26">
        <v>0.5</v>
      </c>
      <c r="Q6" s="26"/>
      <c r="R6" s="276">
        <v>8</v>
      </c>
      <c r="S6" s="276">
        <v>7</v>
      </c>
      <c r="T6" s="82">
        <f t="shared" ref="T6:T51" si="0">S6/R6</f>
        <v>0.875</v>
      </c>
      <c r="U6" s="155" t="str">
        <f t="shared" ref="U6:U51" si="1">IF(V6=A6,"OK","No")</f>
        <v>OK</v>
      </c>
      <c r="V6" s="221" t="s">
        <v>345</v>
      </c>
      <c r="W6" s="222">
        <v>8</v>
      </c>
      <c r="X6" s="222">
        <v>7</v>
      </c>
    </row>
    <row r="7" spans="1:24" x14ac:dyDescent="0.35">
      <c r="A7" s="16" t="s">
        <v>21</v>
      </c>
      <c r="B7" s="13">
        <v>73</v>
      </c>
      <c r="C7" s="81">
        <v>64</v>
      </c>
      <c r="D7" s="26">
        <v>0.87671232876712324</v>
      </c>
      <c r="E7" s="26"/>
      <c r="F7" s="13">
        <v>76</v>
      </c>
      <c r="G7" s="81">
        <v>59</v>
      </c>
      <c r="H7" s="26">
        <v>0.77631578947368418</v>
      </c>
      <c r="I7" s="26"/>
      <c r="J7" s="13">
        <v>81</v>
      </c>
      <c r="K7" s="81">
        <v>71</v>
      </c>
      <c r="L7" s="26">
        <v>0.87654320987654322</v>
      </c>
      <c r="M7" s="26"/>
      <c r="N7" s="13">
        <v>79</v>
      </c>
      <c r="O7" s="81">
        <v>66</v>
      </c>
      <c r="P7" s="26">
        <v>0.83544303797468356</v>
      </c>
      <c r="Q7" s="26"/>
      <c r="R7" s="276">
        <v>63</v>
      </c>
      <c r="S7" s="276">
        <v>57</v>
      </c>
      <c r="T7" s="82">
        <f t="shared" si="0"/>
        <v>0.90476190476190477</v>
      </c>
      <c r="U7" s="155" t="str">
        <f t="shared" si="1"/>
        <v>OK</v>
      </c>
      <c r="V7" s="221" t="s">
        <v>21</v>
      </c>
      <c r="W7" s="222">
        <v>63</v>
      </c>
      <c r="X7" s="222">
        <v>57</v>
      </c>
    </row>
    <row r="8" spans="1:24" x14ac:dyDescent="0.35">
      <c r="A8" s="16" t="s">
        <v>357</v>
      </c>
      <c r="B8" s="73">
        <v>4</v>
      </c>
      <c r="C8" s="81">
        <v>4</v>
      </c>
      <c r="D8" s="26">
        <v>1</v>
      </c>
      <c r="E8" s="26"/>
      <c r="F8" s="73">
        <v>2</v>
      </c>
      <c r="G8" s="81">
        <v>2</v>
      </c>
      <c r="H8" s="26">
        <v>1</v>
      </c>
      <c r="I8" s="26"/>
      <c r="J8" s="73">
        <v>2</v>
      </c>
      <c r="K8" s="81">
        <v>2</v>
      </c>
      <c r="L8" s="26">
        <v>1</v>
      </c>
      <c r="M8" s="26"/>
      <c r="N8" s="73">
        <v>2</v>
      </c>
      <c r="O8" s="81">
        <v>2</v>
      </c>
      <c r="P8" s="26">
        <v>1</v>
      </c>
      <c r="Q8" s="26"/>
      <c r="R8" s="276">
        <v>2</v>
      </c>
      <c r="S8" s="276">
        <v>2</v>
      </c>
      <c r="T8" s="82">
        <f t="shared" si="0"/>
        <v>1</v>
      </c>
      <c r="U8" s="155" t="str">
        <f t="shared" si="1"/>
        <v>OK</v>
      </c>
      <c r="V8" s="221" t="s">
        <v>357</v>
      </c>
      <c r="W8" s="222">
        <v>2</v>
      </c>
      <c r="X8" s="222">
        <v>2</v>
      </c>
    </row>
    <row r="9" spans="1:24" x14ac:dyDescent="0.35">
      <c r="A9" s="16" t="s">
        <v>0</v>
      </c>
      <c r="B9" s="73">
        <v>184</v>
      </c>
      <c r="C9" s="81">
        <v>57</v>
      </c>
      <c r="D9" s="26">
        <v>0.30978260869565216</v>
      </c>
      <c r="E9" s="26"/>
      <c r="F9" s="73">
        <v>188</v>
      </c>
      <c r="G9" s="81">
        <v>45</v>
      </c>
      <c r="H9" s="26">
        <v>0.23936170212765959</v>
      </c>
      <c r="I9" s="26"/>
      <c r="J9" s="73">
        <v>223</v>
      </c>
      <c r="K9" s="81">
        <v>60</v>
      </c>
      <c r="L9" s="26">
        <v>0.26905829596412556</v>
      </c>
      <c r="M9" s="26"/>
      <c r="N9" s="73">
        <v>200</v>
      </c>
      <c r="O9" s="81">
        <v>105</v>
      </c>
      <c r="P9" s="26">
        <v>0.52500000000000002</v>
      </c>
      <c r="Q9" s="26"/>
      <c r="R9" s="276">
        <v>150</v>
      </c>
      <c r="S9" s="276">
        <v>86</v>
      </c>
      <c r="T9" s="82">
        <f t="shared" si="0"/>
        <v>0.57333333333333336</v>
      </c>
      <c r="U9" s="155" t="str">
        <f t="shared" si="1"/>
        <v>OK</v>
      </c>
      <c r="V9" s="221" t="s">
        <v>0</v>
      </c>
      <c r="W9" s="222">
        <v>150</v>
      </c>
      <c r="X9" s="222">
        <v>86</v>
      </c>
    </row>
    <row r="10" spans="1:24" x14ac:dyDescent="0.35">
      <c r="A10" s="16" t="s">
        <v>1</v>
      </c>
      <c r="B10" s="73">
        <v>267</v>
      </c>
      <c r="C10" s="81">
        <v>153</v>
      </c>
      <c r="D10" s="26">
        <v>0.5730337078651685</v>
      </c>
      <c r="E10" s="26"/>
      <c r="F10" s="73">
        <v>278</v>
      </c>
      <c r="G10" s="81">
        <v>162</v>
      </c>
      <c r="H10" s="26">
        <v>0.58273381294964033</v>
      </c>
      <c r="I10" s="26"/>
      <c r="J10" s="73">
        <v>291</v>
      </c>
      <c r="K10" s="81">
        <v>187</v>
      </c>
      <c r="L10" s="26">
        <v>0.6426116838487973</v>
      </c>
      <c r="M10" s="26"/>
      <c r="N10" s="73">
        <v>268</v>
      </c>
      <c r="O10" s="81">
        <v>200</v>
      </c>
      <c r="P10" s="26">
        <v>0.74626865671641796</v>
      </c>
      <c r="Q10" s="26"/>
      <c r="R10" s="276">
        <v>209</v>
      </c>
      <c r="S10" s="276">
        <v>169</v>
      </c>
      <c r="T10" s="82">
        <f t="shared" si="0"/>
        <v>0.80861244019138756</v>
      </c>
      <c r="U10" s="155" t="str">
        <f t="shared" si="1"/>
        <v>OK</v>
      </c>
      <c r="V10" s="221" t="s">
        <v>1</v>
      </c>
      <c r="W10" s="222">
        <v>209</v>
      </c>
      <c r="X10" s="222">
        <v>169</v>
      </c>
    </row>
    <row r="11" spans="1:24" x14ac:dyDescent="0.35">
      <c r="A11" s="16" t="s">
        <v>2</v>
      </c>
      <c r="B11" s="73">
        <v>36</v>
      </c>
      <c r="C11" s="81">
        <v>35</v>
      </c>
      <c r="D11" s="26">
        <v>0.97222222222222221</v>
      </c>
      <c r="E11" s="26"/>
      <c r="F11" s="73">
        <v>37</v>
      </c>
      <c r="G11" s="81">
        <v>31</v>
      </c>
      <c r="H11" s="26">
        <v>0.83783783783783783</v>
      </c>
      <c r="I11" s="26"/>
      <c r="J11" s="73">
        <v>40</v>
      </c>
      <c r="K11" s="81">
        <v>35</v>
      </c>
      <c r="L11" s="26">
        <v>0.875</v>
      </c>
      <c r="M11" s="26"/>
      <c r="N11" s="73">
        <v>35</v>
      </c>
      <c r="O11" s="81">
        <v>29</v>
      </c>
      <c r="P11" s="26">
        <v>0.82857142857142863</v>
      </c>
      <c r="Q11" s="26"/>
      <c r="R11" s="276">
        <v>21</v>
      </c>
      <c r="S11" s="276">
        <v>18</v>
      </c>
      <c r="T11" s="82">
        <f t="shared" si="0"/>
        <v>0.8571428571428571</v>
      </c>
      <c r="U11" s="155" t="str">
        <f t="shared" si="1"/>
        <v>OK</v>
      </c>
      <c r="V11" s="221" t="s">
        <v>2</v>
      </c>
      <c r="W11" s="222">
        <v>21</v>
      </c>
      <c r="X11" s="222">
        <v>18</v>
      </c>
    </row>
    <row r="12" spans="1:24" x14ac:dyDescent="0.35">
      <c r="A12" s="16" t="s">
        <v>26</v>
      </c>
      <c r="B12" s="73">
        <v>16</v>
      </c>
      <c r="C12" s="81">
        <v>10</v>
      </c>
      <c r="D12" s="26">
        <v>0.625</v>
      </c>
      <c r="E12" s="26"/>
      <c r="F12" s="73">
        <v>16</v>
      </c>
      <c r="G12" s="81">
        <v>8</v>
      </c>
      <c r="H12" s="26">
        <v>0.5</v>
      </c>
      <c r="I12" s="26"/>
      <c r="J12" s="73">
        <v>18</v>
      </c>
      <c r="K12" s="81">
        <v>11</v>
      </c>
      <c r="L12" s="26">
        <v>0.61111111111111116</v>
      </c>
      <c r="M12" s="26"/>
      <c r="N12" s="73">
        <v>26</v>
      </c>
      <c r="O12" s="81">
        <v>20</v>
      </c>
      <c r="P12" s="26">
        <v>0.76923076923076927</v>
      </c>
      <c r="Q12" s="26"/>
      <c r="R12" s="276">
        <v>16</v>
      </c>
      <c r="S12" s="276">
        <v>14</v>
      </c>
      <c r="T12" s="82">
        <f t="shared" si="0"/>
        <v>0.875</v>
      </c>
      <c r="U12" s="155" t="str">
        <f t="shared" si="1"/>
        <v>OK</v>
      </c>
      <c r="V12" s="221" t="s">
        <v>26</v>
      </c>
      <c r="W12" s="222">
        <v>16</v>
      </c>
      <c r="X12" s="222">
        <v>14</v>
      </c>
    </row>
    <row r="13" spans="1:24" x14ac:dyDescent="0.35">
      <c r="A13" s="16" t="s">
        <v>306</v>
      </c>
      <c r="B13" s="73">
        <v>70</v>
      </c>
      <c r="C13" s="81">
        <v>40</v>
      </c>
      <c r="D13" s="26">
        <v>0.5714285714285714</v>
      </c>
      <c r="E13" s="26"/>
      <c r="F13" s="73">
        <v>128</v>
      </c>
      <c r="G13" s="81">
        <v>16</v>
      </c>
      <c r="H13" s="26">
        <v>0.125</v>
      </c>
      <c r="I13" s="26"/>
      <c r="J13" s="73">
        <v>143</v>
      </c>
      <c r="K13" s="81">
        <v>25</v>
      </c>
      <c r="L13" s="26">
        <v>0.17482517482517482</v>
      </c>
      <c r="M13" s="26"/>
      <c r="N13" s="73">
        <v>141</v>
      </c>
      <c r="O13" s="81">
        <v>27</v>
      </c>
      <c r="P13" s="26">
        <v>0.19148936170212766</v>
      </c>
      <c r="Q13" s="26"/>
      <c r="R13" s="276">
        <v>83</v>
      </c>
      <c r="S13" s="276">
        <v>19</v>
      </c>
      <c r="T13" s="82">
        <f t="shared" si="0"/>
        <v>0.2289156626506024</v>
      </c>
      <c r="U13" s="155" t="str">
        <f t="shared" si="1"/>
        <v>OK</v>
      </c>
      <c r="V13" s="221" t="s">
        <v>306</v>
      </c>
      <c r="W13" s="222">
        <v>83</v>
      </c>
      <c r="X13" s="222">
        <v>19</v>
      </c>
    </row>
    <row r="14" spans="1:24" x14ac:dyDescent="0.35">
      <c r="A14" s="16" t="s">
        <v>3</v>
      </c>
      <c r="B14" s="73">
        <v>70</v>
      </c>
      <c r="C14" s="81">
        <v>52</v>
      </c>
      <c r="D14" s="26">
        <v>0.74285714285714288</v>
      </c>
      <c r="E14" s="26"/>
      <c r="F14" s="73">
        <v>76</v>
      </c>
      <c r="G14" s="81">
        <v>62</v>
      </c>
      <c r="H14" s="26">
        <v>0.81578947368421051</v>
      </c>
      <c r="I14" s="26"/>
      <c r="J14" s="73">
        <v>76</v>
      </c>
      <c r="K14" s="81">
        <v>56</v>
      </c>
      <c r="L14" s="26">
        <v>0.73684210526315785</v>
      </c>
      <c r="M14" s="26"/>
      <c r="N14" s="73">
        <v>86</v>
      </c>
      <c r="O14" s="81">
        <v>72</v>
      </c>
      <c r="P14" s="26">
        <v>0.83720930232558144</v>
      </c>
      <c r="Q14" s="26"/>
      <c r="R14" s="276">
        <v>60</v>
      </c>
      <c r="S14" s="276">
        <v>55</v>
      </c>
      <c r="T14" s="82">
        <f t="shared" si="0"/>
        <v>0.91666666666666663</v>
      </c>
      <c r="U14" s="155" t="str">
        <f t="shared" si="1"/>
        <v>OK</v>
      </c>
      <c r="V14" s="221" t="s">
        <v>3</v>
      </c>
      <c r="W14" s="222">
        <v>60</v>
      </c>
      <c r="X14" s="222">
        <v>55</v>
      </c>
    </row>
    <row r="15" spans="1:24" x14ac:dyDescent="0.35">
      <c r="A15" s="16" t="s">
        <v>22</v>
      </c>
      <c r="B15" s="73">
        <v>54</v>
      </c>
      <c r="C15" s="81">
        <v>41</v>
      </c>
      <c r="D15" s="26">
        <v>0.7592592592592593</v>
      </c>
      <c r="E15" s="26"/>
      <c r="F15" s="73">
        <v>48</v>
      </c>
      <c r="G15" s="81">
        <v>39</v>
      </c>
      <c r="H15" s="26">
        <v>0.8125</v>
      </c>
      <c r="I15" s="26"/>
      <c r="J15" s="73">
        <v>47</v>
      </c>
      <c r="K15" s="81">
        <v>40</v>
      </c>
      <c r="L15" s="26">
        <v>0.85106382978723405</v>
      </c>
      <c r="M15" s="26"/>
      <c r="N15" s="73">
        <v>46</v>
      </c>
      <c r="O15" s="81">
        <v>41</v>
      </c>
      <c r="P15" s="26">
        <v>0.89130434782608692</v>
      </c>
      <c r="Q15" s="26"/>
      <c r="R15" s="276">
        <v>30</v>
      </c>
      <c r="S15" s="276">
        <v>25</v>
      </c>
      <c r="T15" s="82">
        <f t="shared" si="0"/>
        <v>0.83333333333333337</v>
      </c>
      <c r="U15" s="155" t="str">
        <f t="shared" si="1"/>
        <v>OK</v>
      </c>
      <c r="V15" s="221" t="s">
        <v>22</v>
      </c>
      <c r="W15" s="222">
        <v>30</v>
      </c>
      <c r="X15" s="222">
        <v>25</v>
      </c>
    </row>
    <row r="16" spans="1:24" x14ac:dyDescent="0.35">
      <c r="A16" s="16" t="s">
        <v>23</v>
      </c>
      <c r="B16" s="73">
        <v>33</v>
      </c>
      <c r="C16" s="81">
        <v>29</v>
      </c>
      <c r="D16" s="26">
        <v>0.87878787878787878</v>
      </c>
      <c r="E16" s="26"/>
      <c r="F16" s="73">
        <v>32</v>
      </c>
      <c r="G16" s="81">
        <v>29</v>
      </c>
      <c r="H16" s="26">
        <v>0.90625</v>
      </c>
      <c r="I16" s="26"/>
      <c r="J16" s="73">
        <v>36</v>
      </c>
      <c r="K16" s="81">
        <v>29</v>
      </c>
      <c r="L16" s="26">
        <v>0.80555555555555558</v>
      </c>
      <c r="M16" s="26"/>
      <c r="N16" s="73">
        <v>37</v>
      </c>
      <c r="O16" s="81">
        <v>37</v>
      </c>
      <c r="P16" s="26">
        <v>1</v>
      </c>
      <c r="Q16" s="26"/>
      <c r="R16" s="276">
        <v>22</v>
      </c>
      <c r="S16" s="276">
        <v>20</v>
      </c>
      <c r="T16" s="82">
        <f t="shared" si="0"/>
        <v>0.90909090909090906</v>
      </c>
      <c r="U16" s="155" t="str">
        <f t="shared" si="1"/>
        <v>OK</v>
      </c>
      <c r="V16" s="221" t="s">
        <v>23</v>
      </c>
      <c r="W16" s="222">
        <v>22</v>
      </c>
      <c r="X16" s="222">
        <v>20</v>
      </c>
    </row>
    <row r="17" spans="1:24" x14ac:dyDescent="0.35">
      <c r="A17" s="16" t="s">
        <v>4</v>
      </c>
      <c r="B17" s="73">
        <v>2</v>
      </c>
      <c r="C17" s="81">
        <v>2</v>
      </c>
      <c r="D17" s="26">
        <v>1</v>
      </c>
      <c r="E17" s="26"/>
      <c r="F17" s="73">
        <v>2</v>
      </c>
      <c r="G17" s="81">
        <v>2</v>
      </c>
      <c r="H17" s="26">
        <v>1</v>
      </c>
      <c r="I17" s="26"/>
      <c r="J17" s="73">
        <v>7</v>
      </c>
      <c r="K17" s="81">
        <v>2</v>
      </c>
      <c r="L17" s="26">
        <v>0.2857142857142857</v>
      </c>
      <c r="M17" s="26"/>
      <c r="N17" s="73">
        <v>5</v>
      </c>
      <c r="O17" s="81">
        <v>2</v>
      </c>
      <c r="P17" s="26">
        <v>0.4</v>
      </c>
      <c r="Q17" s="26"/>
      <c r="R17" s="276">
        <v>3</v>
      </c>
      <c r="S17" s="276">
        <v>3</v>
      </c>
      <c r="T17" s="82">
        <f t="shared" si="0"/>
        <v>1</v>
      </c>
      <c r="U17" s="155" t="str">
        <f t="shared" si="1"/>
        <v>OK</v>
      </c>
      <c r="V17" s="221" t="s">
        <v>4</v>
      </c>
      <c r="W17" s="222">
        <v>3</v>
      </c>
      <c r="X17" s="222">
        <v>3</v>
      </c>
    </row>
    <row r="18" spans="1:24" x14ac:dyDescent="0.35">
      <c r="A18" s="16" t="s">
        <v>6</v>
      </c>
      <c r="B18" s="73">
        <v>22</v>
      </c>
      <c r="C18" s="81">
        <v>22</v>
      </c>
      <c r="D18" s="26">
        <v>1</v>
      </c>
      <c r="E18" s="26"/>
      <c r="F18" s="73">
        <v>18</v>
      </c>
      <c r="G18" s="81">
        <v>18</v>
      </c>
      <c r="H18" s="26">
        <v>1</v>
      </c>
      <c r="I18" s="26"/>
      <c r="J18" s="73">
        <v>18</v>
      </c>
      <c r="K18" s="81">
        <v>18</v>
      </c>
      <c r="L18" s="26">
        <v>1</v>
      </c>
      <c r="M18" s="26"/>
      <c r="N18" s="73">
        <v>13</v>
      </c>
      <c r="O18" s="81">
        <v>10</v>
      </c>
      <c r="P18" s="26">
        <v>0.76923076923076927</v>
      </c>
      <c r="Q18" s="26"/>
      <c r="R18" s="276">
        <v>8</v>
      </c>
      <c r="S18" s="276">
        <v>8</v>
      </c>
      <c r="T18" s="82">
        <f t="shared" si="0"/>
        <v>1</v>
      </c>
      <c r="U18" s="155" t="str">
        <f t="shared" si="1"/>
        <v>OK</v>
      </c>
      <c r="V18" s="221" t="s">
        <v>6</v>
      </c>
      <c r="W18" s="222">
        <v>8</v>
      </c>
      <c r="X18" s="222">
        <v>8</v>
      </c>
    </row>
    <row r="19" spans="1:24" x14ac:dyDescent="0.35">
      <c r="A19" s="16" t="s">
        <v>5</v>
      </c>
      <c r="B19" s="73">
        <v>3</v>
      </c>
      <c r="C19" s="81">
        <v>2</v>
      </c>
      <c r="D19" s="26">
        <v>0.66666666666666663</v>
      </c>
      <c r="E19" s="26"/>
      <c r="F19" s="73">
        <v>1</v>
      </c>
      <c r="G19" s="81">
        <v>0</v>
      </c>
      <c r="H19" s="26">
        <v>0</v>
      </c>
      <c r="I19" s="26"/>
      <c r="J19" s="73">
        <v>3</v>
      </c>
      <c r="K19" s="81">
        <v>1</v>
      </c>
      <c r="L19" s="26">
        <v>0.33333333333333331</v>
      </c>
      <c r="M19" s="26"/>
      <c r="N19" s="73">
        <v>2</v>
      </c>
      <c r="O19" s="81">
        <v>1</v>
      </c>
      <c r="P19" s="26">
        <v>0.5</v>
      </c>
      <c r="Q19" s="26"/>
      <c r="R19" s="276">
        <v>2</v>
      </c>
      <c r="S19" s="276">
        <v>1</v>
      </c>
      <c r="T19" s="82">
        <f t="shared" si="0"/>
        <v>0.5</v>
      </c>
      <c r="U19" s="155" t="str">
        <f t="shared" si="1"/>
        <v>OK</v>
      </c>
      <c r="V19" s="221" t="s">
        <v>5</v>
      </c>
      <c r="W19" s="222">
        <v>2</v>
      </c>
      <c r="X19" s="222">
        <v>1</v>
      </c>
    </row>
    <row r="20" spans="1:24" x14ac:dyDescent="0.35">
      <c r="A20" s="16" t="s">
        <v>24</v>
      </c>
      <c r="B20" s="73">
        <v>8</v>
      </c>
      <c r="C20" s="81">
        <v>8</v>
      </c>
      <c r="D20" s="26">
        <v>1</v>
      </c>
      <c r="E20" s="26"/>
      <c r="F20" s="73">
        <v>7</v>
      </c>
      <c r="G20" s="81">
        <v>6</v>
      </c>
      <c r="H20" s="26">
        <v>0.8571428571428571</v>
      </c>
      <c r="I20" s="26"/>
      <c r="J20" s="73">
        <v>7</v>
      </c>
      <c r="K20" s="81">
        <v>6</v>
      </c>
      <c r="L20" s="26">
        <v>0.8571428571428571</v>
      </c>
      <c r="M20" s="26"/>
      <c r="N20" s="73">
        <v>7</v>
      </c>
      <c r="O20" s="81">
        <v>7</v>
      </c>
      <c r="P20" s="26">
        <v>1</v>
      </c>
      <c r="Q20" s="26"/>
      <c r="R20" s="276">
        <v>6</v>
      </c>
      <c r="S20" s="276">
        <v>5</v>
      </c>
      <c r="T20" s="82">
        <f t="shared" si="0"/>
        <v>0.83333333333333337</v>
      </c>
      <c r="U20" s="155" t="str">
        <f t="shared" si="1"/>
        <v>OK</v>
      </c>
      <c r="V20" s="221" t="s">
        <v>24</v>
      </c>
      <c r="W20" s="222">
        <v>6</v>
      </c>
      <c r="X20" s="222">
        <v>5</v>
      </c>
    </row>
    <row r="21" spans="1:24" x14ac:dyDescent="0.35">
      <c r="A21" s="16" t="s">
        <v>7</v>
      </c>
      <c r="B21" s="73">
        <v>25</v>
      </c>
      <c r="C21" s="81">
        <v>17</v>
      </c>
      <c r="D21" s="26">
        <v>0.68</v>
      </c>
      <c r="E21" s="26"/>
      <c r="F21" s="73">
        <v>26</v>
      </c>
      <c r="G21" s="81">
        <v>17</v>
      </c>
      <c r="H21" s="26">
        <v>0.65384615384615385</v>
      </c>
      <c r="I21" s="26"/>
      <c r="J21" s="73">
        <v>23</v>
      </c>
      <c r="K21" s="81">
        <v>17</v>
      </c>
      <c r="L21" s="26">
        <v>0.73913043478260865</v>
      </c>
      <c r="M21" s="26"/>
      <c r="N21" s="73">
        <v>19</v>
      </c>
      <c r="O21" s="81">
        <v>15</v>
      </c>
      <c r="P21" s="26">
        <v>0.78947368421052633</v>
      </c>
      <c r="Q21" s="26"/>
      <c r="R21" s="276">
        <v>15</v>
      </c>
      <c r="S21" s="276">
        <v>13</v>
      </c>
      <c r="T21" s="82">
        <f t="shared" si="0"/>
        <v>0.8666666666666667</v>
      </c>
      <c r="U21" s="155" t="str">
        <f t="shared" si="1"/>
        <v>OK</v>
      </c>
      <c r="V21" s="221" t="s">
        <v>7</v>
      </c>
      <c r="W21" s="222">
        <v>15</v>
      </c>
      <c r="X21" s="222">
        <v>13</v>
      </c>
    </row>
    <row r="22" spans="1:24" x14ac:dyDescent="0.35">
      <c r="A22" s="16" t="s">
        <v>8</v>
      </c>
      <c r="B22" s="73">
        <v>7</v>
      </c>
      <c r="C22" s="81">
        <v>4</v>
      </c>
      <c r="D22" s="26">
        <v>0.5714285714285714</v>
      </c>
      <c r="E22" s="26"/>
      <c r="F22" s="73">
        <v>7</v>
      </c>
      <c r="G22" s="81">
        <v>6</v>
      </c>
      <c r="H22" s="26">
        <v>0.8571428571428571</v>
      </c>
      <c r="I22" s="26"/>
      <c r="J22" s="73">
        <v>7</v>
      </c>
      <c r="K22" s="81">
        <v>5</v>
      </c>
      <c r="L22" s="26">
        <v>0.7142857142857143</v>
      </c>
      <c r="M22" s="26"/>
      <c r="N22" s="73">
        <v>6</v>
      </c>
      <c r="O22" s="81">
        <v>6</v>
      </c>
      <c r="P22" s="26">
        <v>1</v>
      </c>
      <c r="Q22" s="26"/>
      <c r="R22" s="276">
        <v>5</v>
      </c>
      <c r="S22" s="276">
        <v>5</v>
      </c>
      <c r="T22" s="82">
        <f t="shared" si="0"/>
        <v>1</v>
      </c>
      <c r="U22" s="155" t="str">
        <f t="shared" si="1"/>
        <v>OK</v>
      </c>
      <c r="V22" s="221" t="s">
        <v>8</v>
      </c>
      <c r="W22" s="222">
        <v>5</v>
      </c>
      <c r="X22" s="222">
        <v>5</v>
      </c>
    </row>
    <row r="23" spans="1:24" x14ac:dyDescent="0.35">
      <c r="A23" s="16" t="s">
        <v>19</v>
      </c>
      <c r="B23" s="73">
        <v>319</v>
      </c>
      <c r="C23" s="81">
        <v>196</v>
      </c>
      <c r="D23" s="26">
        <v>0.61442006269592475</v>
      </c>
      <c r="E23" s="26"/>
      <c r="F23" s="73">
        <v>324</v>
      </c>
      <c r="G23" s="81">
        <v>174</v>
      </c>
      <c r="H23" s="26">
        <v>0.53703703703703709</v>
      </c>
      <c r="I23" s="26"/>
      <c r="J23" s="73">
        <v>349</v>
      </c>
      <c r="K23" s="81">
        <v>193</v>
      </c>
      <c r="L23" s="26">
        <v>0.55300859598853869</v>
      </c>
      <c r="M23" s="26"/>
      <c r="N23" s="73">
        <v>329</v>
      </c>
      <c r="O23" s="81">
        <v>204</v>
      </c>
      <c r="P23" s="26">
        <v>0.62006079027355621</v>
      </c>
      <c r="Q23" s="26"/>
      <c r="R23" s="276">
        <v>241</v>
      </c>
      <c r="S23" s="276">
        <v>164</v>
      </c>
      <c r="T23" s="82">
        <f t="shared" si="0"/>
        <v>0.68049792531120334</v>
      </c>
      <c r="U23" s="155" t="str">
        <f t="shared" si="1"/>
        <v>OK</v>
      </c>
      <c r="V23" s="221" t="s">
        <v>19</v>
      </c>
      <c r="W23" s="222">
        <v>241</v>
      </c>
      <c r="X23" s="222">
        <v>164</v>
      </c>
    </row>
    <row r="24" spans="1:24" x14ac:dyDescent="0.35">
      <c r="A24" s="16" t="s">
        <v>20</v>
      </c>
      <c r="B24" s="73">
        <v>1</v>
      </c>
      <c r="C24" s="81">
        <v>1</v>
      </c>
      <c r="D24" s="26">
        <v>1</v>
      </c>
      <c r="E24" s="26"/>
      <c r="F24" s="73">
        <v>1</v>
      </c>
      <c r="G24" s="81">
        <v>1</v>
      </c>
      <c r="H24" s="26">
        <v>1</v>
      </c>
      <c r="I24" s="26"/>
      <c r="J24" s="73">
        <v>1</v>
      </c>
      <c r="K24" s="81">
        <v>1</v>
      </c>
      <c r="L24" s="26">
        <v>1</v>
      </c>
      <c r="M24" s="26"/>
      <c r="N24" s="73">
        <v>1</v>
      </c>
      <c r="O24" s="81">
        <v>1</v>
      </c>
      <c r="P24" s="26">
        <v>1</v>
      </c>
      <c r="Q24" s="26"/>
      <c r="R24" s="276">
        <v>1</v>
      </c>
      <c r="S24" s="276">
        <v>1</v>
      </c>
      <c r="T24" s="82">
        <f t="shared" si="0"/>
        <v>1</v>
      </c>
      <c r="U24" s="155" t="str">
        <f t="shared" si="1"/>
        <v>OK</v>
      </c>
      <c r="V24" s="221" t="s">
        <v>20</v>
      </c>
      <c r="W24" s="222">
        <v>1</v>
      </c>
      <c r="X24" s="222">
        <v>1</v>
      </c>
    </row>
    <row r="25" spans="1:24" x14ac:dyDescent="0.35">
      <c r="A25" s="16" t="s">
        <v>27</v>
      </c>
      <c r="B25" s="73">
        <v>1</v>
      </c>
      <c r="C25" s="81">
        <v>1</v>
      </c>
      <c r="D25" s="26">
        <v>1</v>
      </c>
      <c r="E25" s="26"/>
      <c r="F25" s="73">
        <v>1</v>
      </c>
      <c r="G25" s="81">
        <v>0</v>
      </c>
      <c r="H25" s="26">
        <v>0</v>
      </c>
      <c r="I25" s="26"/>
      <c r="J25" s="73">
        <v>1</v>
      </c>
      <c r="K25" s="81">
        <v>0</v>
      </c>
      <c r="L25" s="26">
        <v>0</v>
      </c>
      <c r="M25" s="26"/>
      <c r="N25" s="73">
        <v>1</v>
      </c>
      <c r="O25" s="81">
        <v>1</v>
      </c>
      <c r="P25" s="26">
        <v>1</v>
      </c>
      <c r="Q25" s="26"/>
      <c r="R25" s="276">
        <v>1</v>
      </c>
      <c r="S25" s="276">
        <v>1</v>
      </c>
      <c r="T25" s="82">
        <f t="shared" si="0"/>
        <v>1</v>
      </c>
      <c r="U25" s="155" t="str">
        <f t="shared" si="1"/>
        <v>OK</v>
      </c>
      <c r="V25" s="221" t="s">
        <v>27</v>
      </c>
      <c r="W25" s="222">
        <v>1</v>
      </c>
      <c r="X25" s="222">
        <v>1</v>
      </c>
    </row>
    <row r="26" spans="1:24" x14ac:dyDescent="0.35">
      <c r="A26" s="16" t="s">
        <v>9</v>
      </c>
      <c r="B26" s="73">
        <v>12</v>
      </c>
      <c r="C26" s="81">
        <v>4</v>
      </c>
      <c r="D26" s="26">
        <v>0.33333333333333331</v>
      </c>
      <c r="E26" s="26"/>
      <c r="F26" s="73">
        <v>11</v>
      </c>
      <c r="G26" s="81">
        <v>7</v>
      </c>
      <c r="H26" s="26">
        <v>0.63636363636363635</v>
      </c>
      <c r="I26" s="26"/>
      <c r="J26" s="73">
        <v>11</v>
      </c>
      <c r="K26" s="81">
        <v>5</v>
      </c>
      <c r="L26" s="26">
        <v>0.45454545454545453</v>
      </c>
      <c r="M26" s="26"/>
      <c r="N26" s="73">
        <v>10</v>
      </c>
      <c r="O26" s="81">
        <v>6</v>
      </c>
      <c r="P26" s="26">
        <v>0.6</v>
      </c>
      <c r="Q26" s="26"/>
      <c r="R26" s="276">
        <v>11</v>
      </c>
      <c r="S26" s="276">
        <v>8</v>
      </c>
      <c r="T26" s="82">
        <f t="shared" si="0"/>
        <v>0.72727272727272729</v>
      </c>
      <c r="U26" s="155" t="str">
        <f t="shared" si="1"/>
        <v>OK</v>
      </c>
      <c r="V26" s="221" t="s">
        <v>9</v>
      </c>
      <c r="W26" s="222">
        <v>11</v>
      </c>
      <c r="X26" s="222">
        <v>8</v>
      </c>
    </row>
    <row r="27" spans="1:24" x14ac:dyDescent="0.35">
      <c r="A27" s="16" t="s">
        <v>342</v>
      </c>
      <c r="B27" s="73">
        <v>123</v>
      </c>
      <c r="C27" s="81">
        <v>93</v>
      </c>
      <c r="D27" s="26">
        <v>0.75609756097560976</v>
      </c>
      <c r="E27" s="26"/>
      <c r="F27" s="73">
        <v>114</v>
      </c>
      <c r="G27" s="81">
        <v>98</v>
      </c>
      <c r="H27" s="26">
        <v>0.85964912280701755</v>
      </c>
      <c r="I27" s="26"/>
      <c r="J27" s="73">
        <v>131</v>
      </c>
      <c r="K27" s="81">
        <v>105</v>
      </c>
      <c r="L27" s="26">
        <v>0.80152671755725191</v>
      </c>
      <c r="M27" s="26"/>
      <c r="N27" s="73">
        <v>125</v>
      </c>
      <c r="O27" s="81">
        <v>108</v>
      </c>
      <c r="P27" s="26">
        <v>0.86399999999999999</v>
      </c>
      <c r="Q27" s="26"/>
      <c r="R27" s="276">
        <v>96</v>
      </c>
      <c r="S27" s="276">
        <v>85</v>
      </c>
      <c r="T27" s="82">
        <f t="shared" si="0"/>
        <v>0.88541666666666663</v>
      </c>
      <c r="U27" s="155" t="str">
        <f t="shared" si="1"/>
        <v>OK</v>
      </c>
      <c r="V27" s="221" t="s">
        <v>342</v>
      </c>
      <c r="W27" s="222">
        <v>96</v>
      </c>
      <c r="X27" s="222">
        <v>85</v>
      </c>
    </row>
    <row r="28" spans="1:24" x14ac:dyDescent="0.35">
      <c r="A28" s="16" t="s">
        <v>178</v>
      </c>
      <c r="B28" s="73">
        <v>17</v>
      </c>
      <c r="C28" s="81">
        <v>9</v>
      </c>
      <c r="D28" s="26">
        <v>0.52941176470588236</v>
      </c>
      <c r="E28" s="26"/>
      <c r="F28" s="73">
        <v>14</v>
      </c>
      <c r="G28" s="81">
        <v>8</v>
      </c>
      <c r="H28" s="26">
        <v>0.5714285714285714</v>
      </c>
      <c r="I28" s="26"/>
      <c r="J28" s="73">
        <v>11</v>
      </c>
      <c r="K28" s="81">
        <v>5</v>
      </c>
      <c r="L28" s="26">
        <v>0.45454545454545453</v>
      </c>
      <c r="M28" s="26"/>
      <c r="N28" s="73">
        <v>16</v>
      </c>
      <c r="O28" s="81">
        <v>9</v>
      </c>
      <c r="P28" s="26">
        <v>0.5625</v>
      </c>
      <c r="Q28" s="26"/>
      <c r="R28" s="276">
        <v>7</v>
      </c>
      <c r="S28" s="276">
        <v>6</v>
      </c>
      <c r="T28" s="82">
        <f t="shared" si="0"/>
        <v>0.8571428571428571</v>
      </c>
      <c r="U28" s="155" t="str">
        <f t="shared" si="1"/>
        <v>OK</v>
      </c>
      <c r="V28" s="221" t="s">
        <v>178</v>
      </c>
      <c r="W28" s="222">
        <v>7</v>
      </c>
      <c r="X28" s="222">
        <v>6</v>
      </c>
    </row>
    <row r="29" spans="1:24" x14ac:dyDescent="0.35">
      <c r="A29" s="16" t="s">
        <v>10</v>
      </c>
      <c r="B29" s="73">
        <v>33</v>
      </c>
      <c r="C29" s="81">
        <v>5</v>
      </c>
      <c r="D29" s="26">
        <v>0.15151515151515152</v>
      </c>
      <c r="E29" s="26"/>
      <c r="F29" s="73">
        <v>29</v>
      </c>
      <c r="G29" s="81">
        <v>9</v>
      </c>
      <c r="H29" s="26">
        <v>0.31034482758620691</v>
      </c>
      <c r="I29" s="26"/>
      <c r="J29" s="73">
        <v>33</v>
      </c>
      <c r="K29" s="81">
        <v>9</v>
      </c>
      <c r="L29" s="26">
        <v>0.27272727272727271</v>
      </c>
      <c r="M29" s="26"/>
      <c r="N29" s="73">
        <v>29</v>
      </c>
      <c r="O29" s="81">
        <v>25</v>
      </c>
      <c r="P29" s="26">
        <v>0.86206896551724133</v>
      </c>
      <c r="Q29" s="26"/>
      <c r="R29" s="276">
        <v>24</v>
      </c>
      <c r="S29" s="276">
        <v>23</v>
      </c>
      <c r="T29" s="82">
        <f t="shared" si="0"/>
        <v>0.95833333333333337</v>
      </c>
      <c r="U29" s="155" t="str">
        <f t="shared" si="1"/>
        <v>OK</v>
      </c>
      <c r="V29" s="221" t="s">
        <v>10</v>
      </c>
      <c r="W29" s="222">
        <v>24</v>
      </c>
      <c r="X29" s="222">
        <v>23</v>
      </c>
    </row>
    <row r="30" spans="1:24" x14ac:dyDescent="0.35">
      <c r="A30" s="16" t="s">
        <v>11</v>
      </c>
      <c r="B30" s="73">
        <v>29</v>
      </c>
      <c r="C30" s="81">
        <v>11</v>
      </c>
      <c r="D30" s="26">
        <v>0.37931034482758619</v>
      </c>
      <c r="E30" s="26"/>
      <c r="F30" s="73">
        <v>18</v>
      </c>
      <c r="G30" s="81">
        <v>9</v>
      </c>
      <c r="H30" s="26">
        <v>0.5</v>
      </c>
      <c r="I30" s="26"/>
      <c r="J30" s="73">
        <v>23</v>
      </c>
      <c r="K30" s="81">
        <v>9</v>
      </c>
      <c r="L30" s="26">
        <v>0.39130434782608697</v>
      </c>
      <c r="M30" s="26"/>
      <c r="N30" s="73">
        <v>16</v>
      </c>
      <c r="O30" s="81">
        <v>11</v>
      </c>
      <c r="P30" s="26">
        <v>0.6875</v>
      </c>
      <c r="Q30" s="26"/>
      <c r="R30" s="276">
        <v>6</v>
      </c>
      <c r="S30" s="276">
        <v>5</v>
      </c>
      <c r="T30" s="82">
        <f t="shared" si="0"/>
        <v>0.83333333333333337</v>
      </c>
      <c r="U30" s="155" t="str">
        <f t="shared" si="1"/>
        <v>OK</v>
      </c>
      <c r="V30" s="221" t="s">
        <v>11</v>
      </c>
      <c r="W30" s="222">
        <v>6</v>
      </c>
      <c r="X30" s="222">
        <v>5</v>
      </c>
    </row>
    <row r="31" spans="1:24" x14ac:dyDescent="0.35">
      <c r="A31" s="16" t="s">
        <v>12</v>
      </c>
      <c r="B31" s="73">
        <v>9</v>
      </c>
      <c r="C31" s="81">
        <v>5</v>
      </c>
      <c r="D31" s="26">
        <v>0.55555555555555558</v>
      </c>
      <c r="E31" s="26"/>
      <c r="F31" s="73">
        <v>9</v>
      </c>
      <c r="G31" s="81">
        <v>5</v>
      </c>
      <c r="H31" s="26">
        <v>0.55555555555555558</v>
      </c>
      <c r="I31" s="26"/>
      <c r="J31" s="73">
        <v>8</v>
      </c>
      <c r="K31" s="81">
        <v>5</v>
      </c>
      <c r="L31" s="26">
        <v>0.625</v>
      </c>
      <c r="M31" s="26"/>
      <c r="N31" s="73">
        <v>11</v>
      </c>
      <c r="O31" s="81">
        <v>5</v>
      </c>
      <c r="P31" s="26">
        <v>0.45454545454545453</v>
      </c>
      <c r="Q31" s="26"/>
      <c r="R31" s="276">
        <v>5</v>
      </c>
      <c r="S31" s="276">
        <v>3</v>
      </c>
      <c r="T31" s="82">
        <f t="shared" si="0"/>
        <v>0.6</v>
      </c>
      <c r="U31" s="155" t="str">
        <f t="shared" si="1"/>
        <v>OK</v>
      </c>
      <c r="V31" s="221" t="s">
        <v>12</v>
      </c>
      <c r="W31" s="222">
        <v>5</v>
      </c>
      <c r="X31" s="222">
        <v>3</v>
      </c>
    </row>
    <row r="32" spans="1:24" x14ac:dyDescent="0.35">
      <c r="A32" s="16" t="s">
        <v>13</v>
      </c>
      <c r="B32" s="73">
        <v>7</v>
      </c>
      <c r="C32" s="81">
        <v>3</v>
      </c>
      <c r="D32" s="26">
        <v>0.42857142857142855</v>
      </c>
      <c r="E32" s="26"/>
      <c r="F32" s="73">
        <v>7</v>
      </c>
      <c r="G32" s="81">
        <v>3</v>
      </c>
      <c r="H32" s="26">
        <v>0.42857142857142855</v>
      </c>
      <c r="I32" s="26"/>
      <c r="J32" s="73">
        <v>7</v>
      </c>
      <c r="K32" s="81">
        <v>5</v>
      </c>
      <c r="L32" s="26">
        <v>0.7142857142857143</v>
      </c>
      <c r="M32" s="26"/>
      <c r="N32" s="73">
        <v>7</v>
      </c>
      <c r="O32" s="81">
        <v>5</v>
      </c>
      <c r="P32" s="26">
        <v>0.7142857142857143</v>
      </c>
      <c r="Q32" s="26"/>
      <c r="R32" s="276">
        <v>4</v>
      </c>
      <c r="S32" s="276">
        <v>3</v>
      </c>
      <c r="T32" s="82">
        <f t="shared" si="0"/>
        <v>0.75</v>
      </c>
      <c r="U32" s="155" t="str">
        <f t="shared" si="1"/>
        <v>OK</v>
      </c>
      <c r="V32" s="221" t="s">
        <v>13</v>
      </c>
      <c r="W32" s="222">
        <v>4</v>
      </c>
      <c r="X32" s="222">
        <v>3</v>
      </c>
    </row>
    <row r="33" spans="1:24" x14ac:dyDescent="0.35">
      <c r="A33" s="16" t="s">
        <v>343</v>
      </c>
      <c r="B33" s="73">
        <v>5</v>
      </c>
      <c r="C33" s="81">
        <v>4</v>
      </c>
      <c r="D33" s="26">
        <v>0.8</v>
      </c>
      <c r="E33" s="26"/>
      <c r="F33" s="73">
        <v>6</v>
      </c>
      <c r="G33" s="81">
        <v>3</v>
      </c>
      <c r="H33" s="26">
        <v>0.5</v>
      </c>
      <c r="I33" s="26"/>
      <c r="J33" s="73">
        <v>6</v>
      </c>
      <c r="K33" s="81">
        <v>3</v>
      </c>
      <c r="L33" s="26">
        <v>0.5</v>
      </c>
      <c r="M33" s="26"/>
      <c r="N33" s="73">
        <v>6</v>
      </c>
      <c r="O33" s="81">
        <v>2</v>
      </c>
      <c r="P33" s="26">
        <v>0.33333333333333331</v>
      </c>
      <c r="Q33" s="26"/>
      <c r="R33" s="276">
        <v>3</v>
      </c>
      <c r="S33" s="276">
        <v>2</v>
      </c>
      <c r="T33" s="82">
        <f t="shared" si="0"/>
        <v>0.66666666666666663</v>
      </c>
      <c r="U33" s="155" t="str">
        <f t="shared" si="1"/>
        <v>OK</v>
      </c>
      <c r="V33" s="221" t="s">
        <v>343</v>
      </c>
      <c r="W33" s="222">
        <v>3</v>
      </c>
      <c r="X33" s="222">
        <v>2</v>
      </c>
    </row>
    <row r="34" spans="1:24" x14ac:dyDescent="0.35">
      <c r="A34" s="16" t="s">
        <v>14</v>
      </c>
      <c r="B34" s="73">
        <v>9</v>
      </c>
      <c r="C34" s="81">
        <v>6</v>
      </c>
      <c r="D34" s="26">
        <v>0.66666666666666663</v>
      </c>
      <c r="E34" s="26"/>
      <c r="F34" s="73">
        <v>10</v>
      </c>
      <c r="G34" s="81">
        <v>3</v>
      </c>
      <c r="H34" s="26">
        <v>0.3</v>
      </c>
      <c r="I34" s="26"/>
      <c r="J34" s="73">
        <v>12</v>
      </c>
      <c r="K34" s="81">
        <v>5</v>
      </c>
      <c r="L34" s="26">
        <v>0.41666666666666669</v>
      </c>
      <c r="M34" s="26"/>
      <c r="N34" s="73">
        <v>14</v>
      </c>
      <c r="O34" s="81">
        <v>8</v>
      </c>
      <c r="P34" s="26">
        <v>0.5714285714285714</v>
      </c>
      <c r="Q34" s="26"/>
      <c r="R34" s="276">
        <v>5</v>
      </c>
      <c r="S34" s="276">
        <v>4</v>
      </c>
      <c r="T34" s="82">
        <f t="shared" si="0"/>
        <v>0.8</v>
      </c>
      <c r="U34" s="155" t="str">
        <f t="shared" si="1"/>
        <v>OK</v>
      </c>
      <c r="V34" s="221" t="s">
        <v>14</v>
      </c>
      <c r="W34" s="222">
        <v>5</v>
      </c>
      <c r="X34" s="222">
        <v>4</v>
      </c>
    </row>
    <row r="35" spans="1:24" x14ac:dyDescent="0.35">
      <c r="A35" s="16" t="s">
        <v>15</v>
      </c>
      <c r="B35" s="73">
        <v>38</v>
      </c>
      <c r="C35" s="81">
        <v>18</v>
      </c>
      <c r="D35" s="26">
        <v>0.47368421052631576</v>
      </c>
      <c r="E35" s="26"/>
      <c r="F35" s="73">
        <v>40</v>
      </c>
      <c r="G35" s="81">
        <v>22</v>
      </c>
      <c r="H35" s="26">
        <v>0.55000000000000004</v>
      </c>
      <c r="I35" s="26"/>
      <c r="J35" s="73">
        <v>40</v>
      </c>
      <c r="K35" s="81">
        <v>19</v>
      </c>
      <c r="L35" s="26">
        <v>0.47499999999999998</v>
      </c>
      <c r="M35" s="26"/>
      <c r="N35" s="73">
        <v>39</v>
      </c>
      <c r="O35" s="81">
        <v>30</v>
      </c>
      <c r="P35" s="26">
        <v>0.76923076923076927</v>
      </c>
      <c r="Q35" s="26"/>
      <c r="R35" s="276">
        <v>26</v>
      </c>
      <c r="S35" s="276">
        <v>19</v>
      </c>
      <c r="T35" s="82">
        <f t="shared" si="0"/>
        <v>0.73076923076923073</v>
      </c>
      <c r="U35" s="155" t="str">
        <f t="shared" si="1"/>
        <v>OK</v>
      </c>
      <c r="V35" s="221" t="s">
        <v>15</v>
      </c>
      <c r="W35" s="222">
        <v>26</v>
      </c>
      <c r="X35" s="222">
        <v>19</v>
      </c>
    </row>
    <row r="36" spans="1:24" x14ac:dyDescent="0.35">
      <c r="A36" s="16" t="s">
        <v>16</v>
      </c>
      <c r="B36" s="73">
        <v>2</v>
      </c>
      <c r="C36" s="81">
        <v>2</v>
      </c>
      <c r="D36" s="26">
        <v>1</v>
      </c>
      <c r="E36" s="26"/>
      <c r="F36" s="73">
        <v>6</v>
      </c>
      <c r="G36" s="81">
        <v>2</v>
      </c>
      <c r="H36" s="26">
        <v>0.33333333333333331</v>
      </c>
      <c r="I36" s="26"/>
      <c r="J36" s="73">
        <v>2</v>
      </c>
      <c r="K36" s="81">
        <v>1</v>
      </c>
      <c r="L36" s="26">
        <v>0.5</v>
      </c>
      <c r="M36" s="26"/>
      <c r="N36" s="73">
        <v>3</v>
      </c>
      <c r="O36" s="81">
        <v>1</v>
      </c>
      <c r="P36" s="26">
        <v>0.33333333333333331</v>
      </c>
      <c r="Q36" s="26"/>
      <c r="R36" s="276">
        <v>3</v>
      </c>
      <c r="S36" s="276">
        <v>2</v>
      </c>
      <c r="T36" s="82">
        <f t="shared" si="0"/>
        <v>0.66666666666666663</v>
      </c>
      <c r="U36" s="155" t="str">
        <f t="shared" si="1"/>
        <v>OK</v>
      </c>
      <c r="V36" s="221" t="s">
        <v>16</v>
      </c>
      <c r="W36" s="222">
        <v>3</v>
      </c>
      <c r="X36" s="222">
        <v>2</v>
      </c>
    </row>
    <row r="37" spans="1:24" x14ac:dyDescent="0.35">
      <c r="A37" s="16" t="s">
        <v>344</v>
      </c>
      <c r="B37" s="73">
        <v>4</v>
      </c>
      <c r="C37" s="81">
        <v>4</v>
      </c>
      <c r="D37" s="26">
        <v>1</v>
      </c>
      <c r="E37" s="26"/>
      <c r="F37" s="73">
        <v>9</v>
      </c>
      <c r="G37" s="81">
        <v>3</v>
      </c>
      <c r="H37" s="26">
        <v>0.33333333333333331</v>
      </c>
      <c r="I37" s="26"/>
      <c r="J37" s="73">
        <v>9</v>
      </c>
      <c r="K37" s="81">
        <v>4</v>
      </c>
      <c r="L37" s="26">
        <v>0.44444444444444442</v>
      </c>
      <c r="M37" s="26"/>
      <c r="N37" s="73">
        <v>8</v>
      </c>
      <c r="O37" s="81">
        <v>7</v>
      </c>
      <c r="P37" s="26">
        <v>0.875</v>
      </c>
      <c r="Q37" s="26"/>
      <c r="R37" s="276">
        <v>2</v>
      </c>
      <c r="S37" s="276">
        <v>2</v>
      </c>
      <c r="T37" s="82">
        <f t="shared" si="0"/>
        <v>1</v>
      </c>
      <c r="U37" s="155" t="str">
        <f t="shared" si="1"/>
        <v>OK</v>
      </c>
      <c r="V37" s="221" t="s">
        <v>344</v>
      </c>
      <c r="W37" s="222">
        <v>2</v>
      </c>
      <c r="X37" s="222">
        <v>2</v>
      </c>
    </row>
    <row r="38" spans="1:24" x14ac:dyDescent="0.35">
      <c r="A38" s="16" t="s">
        <v>17</v>
      </c>
      <c r="B38" s="73">
        <v>10</v>
      </c>
      <c r="C38" s="81">
        <v>1</v>
      </c>
      <c r="D38" s="26">
        <v>0.1</v>
      </c>
      <c r="E38" s="26"/>
      <c r="F38" s="73">
        <v>5</v>
      </c>
      <c r="G38" s="81">
        <v>1</v>
      </c>
      <c r="H38" s="26">
        <v>0.2</v>
      </c>
      <c r="I38" s="26"/>
      <c r="J38" s="73">
        <v>5</v>
      </c>
      <c r="K38" s="81">
        <v>0</v>
      </c>
      <c r="L38" s="26">
        <v>0</v>
      </c>
      <c r="M38" s="26"/>
      <c r="N38" s="73">
        <v>9</v>
      </c>
      <c r="O38" s="81">
        <v>5</v>
      </c>
      <c r="P38" s="26">
        <v>0.55555555555555558</v>
      </c>
      <c r="Q38" s="26"/>
      <c r="R38" s="276">
        <v>4</v>
      </c>
      <c r="S38" s="276">
        <v>3</v>
      </c>
      <c r="T38" s="82">
        <f t="shared" si="0"/>
        <v>0.75</v>
      </c>
      <c r="U38" s="155" t="str">
        <f t="shared" si="1"/>
        <v>OK</v>
      </c>
      <c r="V38" s="221" t="s">
        <v>17</v>
      </c>
      <c r="W38" s="222">
        <v>4</v>
      </c>
      <c r="X38" s="222">
        <v>3</v>
      </c>
    </row>
    <row r="39" spans="1:24" x14ac:dyDescent="0.35">
      <c r="A39" s="16" t="s">
        <v>358</v>
      </c>
      <c r="B39" s="73">
        <v>28</v>
      </c>
      <c r="C39" s="81">
        <v>12</v>
      </c>
      <c r="D39" s="26">
        <v>0.42857142857142855</v>
      </c>
      <c r="E39" s="26"/>
      <c r="F39" s="73">
        <v>26</v>
      </c>
      <c r="G39" s="81">
        <v>15</v>
      </c>
      <c r="H39" s="26">
        <v>0.57692307692307687</v>
      </c>
      <c r="I39" s="26"/>
      <c r="J39" s="73">
        <v>36</v>
      </c>
      <c r="K39" s="81">
        <v>23</v>
      </c>
      <c r="L39" s="26">
        <v>0.63888888888888884</v>
      </c>
      <c r="M39" s="26"/>
      <c r="N39" s="73">
        <v>27</v>
      </c>
      <c r="O39" s="81">
        <v>22</v>
      </c>
      <c r="P39" s="26">
        <v>0.81481481481481477</v>
      </c>
      <c r="Q39" s="26"/>
      <c r="R39" s="276">
        <v>21</v>
      </c>
      <c r="S39" s="276">
        <v>21</v>
      </c>
      <c r="T39" s="82">
        <f t="shared" si="0"/>
        <v>1</v>
      </c>
      <c r="U39" s="155" t="str">
        <f t="shared" si="1"/>
        <v>OK</v>
      </c>
      <c r="V39" s="221" t="s">
        <v>358</v>
      </c>
      <c r="W39" s="222">
        <v>21</v>
      </c>
      <c r="X39" s="222">
        <v>21</v>
      </c>
    </row>
    <row r="40" spans="1:24" x14ac:dyDescent="0.35">
      <c r="A40" s="16" t="s">
        <v>25</v>
      </c>
      <c r="B40" s="73">
        <v>15</v>
      </c>
      <c r="C40" s="81">
        <v>11</v>
      </c>
      <c r="D40" s="26">
        <v>0.73333333333333328</v>
      </c>
      <c r="E40" s="26"/>
      <c r="F40" s="73">
        <v>18</v>
      </c>
      <c r="G40" s="81">
        <v>15</v>
      </c>
      <c r="H40" s="26">
        <v>0.83333333333333337</v>
      </c>
      <c r="I40" s="26"/>
      <c r="J40" s="73">
        <v>14</v>
      </c>
      <c r="K40" s="81">
        <v>10</v>
      </c>
      <c r="L40" s="26">
        <v>0.7142857142857143</v>
      </c>
      <c r="M40" s="26"/>
      <c r="N40" s="73">
        <v>14</v>
      </c>
      <c r="O40" s="81">
        <v>12</v>
      </c>
      <c r="P40" s="26">
        <v>0.8571428571428571</v>
      </c>
      <c r="Q40" s="26"/>
      <c r="R40" s="276">
        <v>6</v>
      </c>
      <c r="S40" s="276">
        <v>6</v>
      </c>
      <c r="T40" s="82">
        <f t="shared" si="0"/>
        <v>1</v>
      </c>
      <c r="U40" s="155" t="str">
        <f t="shared" si="1"/>
        <v>OK</v>
      </c>
      <c r="V40" s="221" t="s">
        <v>25</v>
      </c>
      <c r="W40" s="222">
        <v>6</v>
      </c>
      <c r="X40" s="222">
        <v>6</v>
      </c>
    </row>
    <row r="41" spans="1:24" x14ac:dyDescent="0.35">
      <c r="A41" s="16" t="s">
        <v>18</v>
      </c>
      <c r="B41" s="73">
        <v>24</v>
      </c>
      <c r="C41" s="81">
        <v>12</v>
      </c>
      <c r="D41" s="26">
        <v>0.5</v>
      </c>
      <c r="E41" s="26"/>
      <c r="F41" s="73">
        <v>19</v>
      </c>
      <c r="G41" s="81">
        <v>9</v>
      </c>
      <c r="H41" s="26">
        <v>0.47368421052631576</v>
      </c>
      <c r="I41" s="26"/>
      <c r="J41" s="73">
        <v>21</v>
      </c>
      <c r="K41" s="81">
        <v>8</v>
      </c>
      <c r="L41" s="26">
        <v>0.38095238095238093</v>
      </c>
      <c r="M41" s="26"/>
      <c r="N41" s="73">
        <v>18</v>
      </c>
      <c r="O41" s="81">
        <v>12</v>
      </c>
      <c r="P41" s="26">
        <v>0.66666666666666663</v>
      </c>
      <c r="Q41" s="26"/>
      <c r="R41" s="276">
        <v>10</v>
      </c>
      <c r="S41" s="276">
        <v>6</v>
      </c>
      <c r="T41" s="82">
        <f t="shared" si="0"/>
        <v>0.6</v>
      </c>
      <c r="U41" s="155" t="str">
        <f t="shared" si="1"/>
        <v>OK</v>
      </c>
      <c r="V41" s="221" t="s">
        <v>18</v>
      </c>
      <c r="W41" s="222">
        <v>10</v>
      </c>
      <c r="X41" s="222">
        <v>6</v>
      </c>
    </row>
    <row r="42" spans="1:24" x14ac:dyDescent="0.35">
      <c r="A42" s="16" t="s">
        <v>353</v>
      </c>
      <c r="B42" s="73">
        <v>123</v>
      </c>
      <c r="C42" s="81">
        <v>103</v>
      </c>
      <c r="D42" s="26">
        <v>0.83739837398373984</v>
      </c>
      <c r="E42" s="26"/>
      <c r="F42" s="73">
        <v>125</v>
      </c>
      <c r="G42" s="81">
        <v>95</v>
      </c>
      <c r="H42" s="26">
        <v>0.76</v>
      </c>
      <c r="I42" s="26"/>
      <c r="J42" s="73">
        <v>124</v>
      </c>
      <c r="K42" s="81">
        <v>99</v>
      </c>
      <c r="L42" s="26">
        <v>0.79838709677419351</v>
      </c>
      <c r="M42" s="26"/>
      <c r="N42" s="73">
        <v>131</v>
      </c>
      <c r="O42" s="81">
        <v>109</v>
      </c>
      <c r="P42" s="26">
        <v>0.83206106870229013</v>
      </c>
      <c r="Q42" s="26"/>
      <c r="R42" s="276">
        <v>93</v>
      </c>
      <c r="S42" s="276">
        <v>85</v>
      </c>
      <c r="T42" s="82">
        <f t="shared" si="0"/>
        <v>0.91397849462365588</v>
      </c>
      <c r="U42" s="155" t="str">
        <f t="shared" si="1"/>
        <v>OK</v>
      </c>
      <c r="V42" s="221" t="s">
        <v>353</v>
      </c>
      <c r="W42" s="222">
        <v>93</v>
      </c>
      <c r="X42" s="222">
        <v>85</v>
      </c>
    </row>
    <row r="43" spans="1:24" x14ac:dyDescent="0.35">
      <c r="A43" s="16" t="s">
        <v>354</v>
      </c>
      <c r="B43" s="73">
        <v>124</v>
      </c>
      <c r="C43" s="81">
        <v>50</v>
      </c>
      <c r="D43" s="26">
        <v>0.40322580645161288</v>
      </c>
      <c r="E43" s="26"/>
      <c r="F43" s="73">
        <v>109</v>
      </c>
      <c r="G43" s="81">
        <v>39</v>
      </c>
      <c r="H43" s="26">
        <v>0.3577981651376147</v>
      </c>
      <c r="I43" s="26"/>
      <c r="J43" s="73">
        <v>118</v>
      </c>
      <c r="K43" s="81">
        <v>50</v>
      </c>
      <c r="L43" s="26">
        <v>0.42372881355932202</v>
      </c>
      <c r="M43" s="26"/>
      <c r="N43" s="73">
        <v>111</v>
      </c>
      <c r="O43" s="81">
        <v>97</v>
      </c>
      <c r="P43" s="26">
        <v>0.87387387387387383</v>
      </c>
      <c r="Q43" s="26"/>
      <c r="R43" s="276">
        <v>91</v>
      </c>
      <c r="S43" s="276">
        <v>81</v>
      </c>
      <c r="T43" s="82">
        <f t="shared" si="0"/>
        <v>0.89010989010989006</v>
      </c>
      <c r="U43" s="155" t="str">
        <f t="shared" si="1"/>
        <v>OK</v>
      </c>
      <c r="V43" s="221" t="s">
        <v>354</v>
      </c>
      <c r="W43" s="222">
        <v>91</v>
      </c>
      <c r="X43" s="222">
        <v>81</v>
      </c>
    </row>
    <row r="44" spans="1:24" x14ac:dyDescent="0.35">
      <c r="A44" s="16" t="s">
        <v>409</v>
      </c>
      <c r="B44" s="73">
        <v>324</v>
      </c>
      <c r="C44" s="81">
        <v>172</v>
      </c>
      <c r="D44" s="26">
        <v>0.53086419753086422</v>
      </c>
      <c r="E44" s="26"/>
      <c r="F44" s="73">
        <v>325</v>
      </c>
      <c r="G44" s="81">
        <v>106</v>
      </c>
      <c r="H44" s="26">
        <v>0.32615384615384613</v>
      </c>
      <c r="I44" s="26"/>
      <c r="J44" s="73">
        <v>367</v>
      </c>
      <c r="K44" s="81">
        <v>133</v>
      </c>
      <c r="L44" s="26">
        <v>0.36239782016348776</v>
      </c>
      <c r="M44" s="26"/>
      <c r="N44" s="73">
        <v>379</v>
      </c>
      <c r="O44" s="81">
        <v>154</v>
      </c>
      <c r="P44" s="26">
        <v>0.40633245382585753</v>
      </c>
      <c r="Q44" s="26"/>
      <c r="R44" s="276">
        <v>299</v>
      </c>
      <c r="S44" s="276">
        <v>125</v>
      </c>
      <c r="T44" s="82">
        <f t="shared" si="0"/>
        <v>0.41806020066889632</v>
      </c>
      <c r="U44" s="155" t="str">
        <f t="shared" si="1"/>
        <v>OK</v>
      </c>
      <c r="V44" s="221" t="s">
        <v>409</v>
      </c>
      <c r="W44" s="222">
        <v>299</v>
      </c>
      <c r="X44" s="222">
        <v>125</v>
      </c>
    </row>
    <row r="45" spans="1:24" x14ac:dyDescent="0.35">
      <c r="A45" s="16" t="s">
        <v>28</v>
      </c>
      <c r="B45" s="73">
        <v>2</v>
      </c>
      <c r="C45" s="81">
        <v>1</v>
      </c>
      <c r="D45" s="26">
        <v>0.5</v>
      </c>
      <c r="E45" s="26"/>
      <c r="F45" s="73">
        <v>3</v>
      </c>
      <c r="G45" s="81">
        <v>1</v>
      </c>
      <c r="H45" s="26">
        <v>0.33333333333333331</v>
      </c>
      <c r="I45" s="26"/>
      <c r="J45" s="73">
        <v>3</v>
      </c>
      <c r="K45" s="81">
        <v>1</v>
      </c>
      <c r="L45" s="26">
        <v>0.33333333333333331</v>
      </c>
      <c r="M45" s="26"/>
      <c r="N45" s="73">
        <v>2</v>
      </c>
      <c r="O45" s="81">
        <v>1</v>
      </c>
      <c r="P45" s="26">
        <v>0.5</v>
      </c>
      <c r="Q45" s="26"/>
      <c r="R45" s="276">
        <v>2</v>
      </c>
      <c r="S45" s="276">
        <v>1</v>
      </c>
      <c r="T45" s="82">
        <f t="shared" si="0"/>
        <v>0.5</v>
      </c>
      <c r="U45" s="155" t="str">
        <f t="shared" si="1"/>
        <v>OK</v>
      </c>
      <c r="V45" s="221" t="s">
        <v>28</v>
      </c>
      <c r="W45" s="222">
        <v>2</v>
      </c>
      <c r="X45" s="222">
        <v>1</v>
      </c>
    </row>
    <row r="46" spans="1:24" x14ac:dyDescent="0.35">
      <c r="A46" s="16" t="s">
        <v>29</v>
      </c>
      <c r="B46" s="73">
        <v>2</v>
      </c>
      <c r="C46" s="81">
        <v>0</v>
      </c>
      <c r="D46" s="26">
        <v>0</v>
      </c>
      <c r="E46" s="26"/>
      <c r="F46" s="73">
        <v>2</v>
      </c>
      <c r="G46" s="81">
        <v>0</v>
      </c>
      <c r="H46" s="26">
        <v>0</v>
      </c>
      <c r="I46" s="26"/>
      <c r="J46" s="73">
        <v>2</v>
      </c>
      <c r="K46" s="81">
        <v>0</v>
      </c>
      <c r="L46" s="26">
        <v>0</v>
      </c>
      <c r="M46" s="26"/>
      <c r="N46" s="73">
        <v>1</v>
      </c>
      <c r="O46" s="81">
        <v>1</v>
      </c>
      <c r="P46" s="26">
        <v>1</v>
      </c>
      <c r="Q46" s="26"/>
      <c r="R46" s="276">
        <v>2</v>
      </c>
      <c r="S46" s="276">
        <v>2</v>
      </c>
      <c r="T46" s="82">
        <f t="shared" si="0"/>
        <v>1</v>
      </c>
      <c r="U46" s="155" t="str">
        <f t="shared" si="1"/>
        <v>OK</v>
      </c>
      <c r="V46" s="221" t="s">
        <v>29</v>
      </c>
      <c r="W46" s="222">
        <v>2</v>
      </c>
      <c r="X46" s="222">
        <v>2</v>
      </c>
    </row>
    <row r="47" spans="1:24" x14ac:dyDescent="0.35">
      <c r="A47" s="16" t="s">
        <v>359</v>
      </c>
      <c r="B47" s="73">
        <v>12</v>
      </c>
      <c r="C47" s="81">
        <v>6</v>
      </c>
      <c r="D47" s="26">
        <v>0.5</v>
      </c>
      <c r="E47" s="26"/>
      <c r="F47" s="73">
        <v>12</v>
      </c>
      <c r="G47" s="81">
        <v>5</v>
      </c>
      <c r="H47" s="26">
        <v>0.41666666666666669</v>
      </c>
      <c r="I47" s="26"/>
      <c r="J47" s="73">
        <v>14</v>
      </c>
      <c r="K47" s="81">
        <v>5</v>
      </c>
      <c r="L47" s="26">
        <v>0.35714285714285715</v>
      </c>
      <c r="M47" s="26"/>
      <c r="N47" s="73">
        <v>14</v>
      </c>
      <c r="O47" s="81">
        <v>6</v>
      </c>
      <c r="P47" s="26">
        <v>0.42857142857142855</v>
      </c>
      <c r="Q47" s="26"/>
      <c r="R47" s="276">
        <v>11</v>
      </c>
      <c r="S47" s="276">
        <v>7</v>
      </c>
      <c r="T47" s="82">
        <f t="shared" si="0"/>
        <v>0.63636363636363635</v>
      </c>
      <c r="U47" s="155" t="str">
        <f t="shared" si="1"/>
        <v>OK</v>
      </c>
      <c r="V47" s="221" t="s">
        <v>359</v>
      </c>
      <c r="W47" s="222">
        <v>11</v>
      </c>
      <c r="X47" s="222">
        <v>7</v>
      </c>
    </row>
    <row r="48" spans="1:24" x14ac:dyDescent="0.35">
      <c r="A48" s="16" t="s">
        <v>30</v>
      </c>
      <c r="B48" s="73">
        <v>44</v>
      </c>
      <c r="C48" s="81">
        <v>28</v>
      </c>
      <c r="D48" s="26">
        <v>0.63636363636363635</v>
      </c>
      <c r="E48" s="26"/>
      <c r="F48" s="73">
        <v>46</v>
      </c>
      <c r="G48" s="81">
        <v>22</v>
      </c>
      <c r="H48" s="26">
        <v>0.47826086956521741</v>
      </c>
      <c r="I48" s="26"/>
      <c r="J48" s="73">
        <v>53</v>
      </c>
      <c r="K48" s="81">
        <v>28</v>
      </c>
      <c r="L48" s="26">
        <v>0.52830188679245282</v>
      </c>
      <c r="M48" s="26"/>
      <c r="N48" s="73">
        <v>52</v>
      </c>
      <c r="O48" s="81">
        <v>40</v>
      </c>
      <c r="P48" s="26">
        <v>0.76923076923076927</v>
      </c>
      <c r="Q48" s="26"/>
      <c r="R48" s="276">
        <v>37</v>
      </c>
      <c r="S48" s="276">
        <v>37</v>
      </c>
      <c r="T48" s="82">
        <f t="shared" si="0"/>
        <v>1</v>
      </c>
      <c r="U48" s="155" t="str">
        <f t="shared" si="1"/>
        <v>OK</v>
      </c>
      <c r="V48" s="221" t="s">
        <v>30</v>
      </c>
      <c r="W48" s="222">
        <v>37</v>
      </c>
      <c r="X48" s="222">
        <v>37</v>
      </c>
    </row>
    <row r="49" spans="1:24" x14ac:dyDescent="0.35">
      <c r="A49" s="16" t="s">
        <v>31</v>
      </c>
      <c r="B49" s="73">
        <v>4</v>
      </c>
      <c r="C49" s="81">
        <v>1</v>
      </c>
      <c r="D49" s="26">
        <v>0.25</v>
      </c>
      <c r="E49" s="26"/>
      <c r="F49" s="73">
        <v>4</v>
      </c>
      <c r="G49" s="81">
        <v>1</v>
      </c>
      <c r="H49" s="26">
        <v>0.25</v>
      </c>
      <c r="I49" s="26"/>
      <c r="J49" s="73">
        <v>4</v>
      </c>
      <c r="K49" s="81">
        <v>1</v>
      </c>
      <c r="L49" s="26">
        <v>0.25</v>
      </c>
      <c r="M49" s="26"/>
      <c r="N49" s="73">
        <v>3</v>
      </c>
      <c r="O49" s="81">
        <v>1</v>
      </c>
      <c r="P49" s="26">
        <v>0.33333333333333331</v>
      </c>
      <c r="Q49" s="26"/>
      <c r="R49" s="276">
        <v>4</v>
      </c>
      <c r="S49" s="276">
        <v>1</v>
      </c>
      <c r="T49" s="82">
        <f t="shared" si="0"/>
        <v>0.25</v>
      </c>
      <c r="U49" s="155" t="str">
        <f t="shared" si="1"/>
        <v>OK</v>
      </c>
      <c r="V49" s="221" t="s">
        <v>31</v>
      </c>
      <c r="W49" s="222">
        <v>4</v>
      </c>
      <c r="X49" s="222">
        <v>1</v>
      </c>
    </row>
    <row r="50" spans="1:24" x14ac:dyDescent="0.35">
      <c r="A50" s="16" t="s">
        <v>32</v>
      </c>
      <c r="B50" s="73">
        <v>62</v>
      </c>
      <c r="C50" s="81">
        <v>43</v>
      </c>
      <c r="D50" s="26">
        <v>0.69354838709677424</v>
      </c>
      <c r="E50" s="26"/>
      <c r="F50" s="73">
        <v>75</v>
      </c>
      <c r="G50" s="81">
        <v>35</v>
      </c>
      <c r="H50" s="26">
        <v>0.46666666666666667</v>
      </c>
      <c r="I50" s="26"/>
      <c r="J50" s="73">
        <v>60</v>
      </c>
      <c r="K50" s="81">
        <v>28</v>
      </c>
      <c r="L50" s="26">
        <v>0.46666666666666667</v>
      </c>
      <c r="M50" s="26"/>
      <c r="N50" s="73">
        <v>60</v>
      </c>
      <c r="O50" s="81">
        <v>29</v>
      </c>
      <c r="P50" s="26">
        <v>0.48333333333333334</v>
      </c>
      <c r="Q50" s="26"/>
      <c r="R50" s="276">
        <v>31</v>
      </c>
      <c r="S50" s="276">
        <v>24</v>
      </c>
      <c r="T50" s="82">
        <f t="shared" si="0"/>
        <v>0.77419354838709675</v>
      </c>
      <c r="U50" s="155" t="str">
        <f t="shared" si="1"/>
        <v>OK</v>
      </c>
      <c r="V50" s="221" t="s">
        <v>32</v>
      </c>
      <c r="W50" s="222">
        <v>31</v>
      </c>
      <c r="X50" s="222">
        <v>24</v>
      </c>
    </row>
    <row r="51" spans="1:24" x14ac:dyDescent="0.35">
      <c r="A51" s="16" t="s">
        <v>33</v>
      </c>
      <c r="B51" s="73">
        <v>99</v>
      </c>
      <c r="C51" s="81">
        <v>28</v>
      </c>
      <c r="D51" s="26">
        <v>0.28282828282828282</v>
      </c>
      <c r="E51" s="26"/>
      <c r="F51" s="73">
        <v>107</v>
      </c>
      <c r="G51" s="81">
        <v>83</v>
      </c>
      <c r="H51" s="26">
        <v>0.77570093457943923</v>
      </c>
      <c r="I51" s="26"/>
      <c r="J51" s="73">
        <v>120</v>
      </c>
      <c r="K51" s="81">
        <v>113</v>
      </c>
      <c r="L51" s="26">
        <v>0.94166666666666665</v>
      </c>
      <c r="M51" s="26"/>
      <c r="N51" s="73">
        <v>114</v>
      </c>
      <c r="O51" s="81">
        <v>103</v>
      </c>
      <c r="P51" s="26">
        <v>0.90350877192982459</v>
      </c>
      <c r="Q51" s="26"/>
      <c r="R51" s="276">
        <v>75</v>
      </c>
      <c r="S51" s="276">
        <v>74</v>
      </c>
      <c r="T51" s="82">
        <f t="shared" si="0"/>
        <v>0.98666666666666669</v>
      </c>
      <c r="U51" s="155" t="str">
        <f t="shared" si="1"/>
        <v>OK</v>
      </c>
      <c r="V51" s="221" t="s">
        <v>33</v>
      </c>
      <c r="W51" s="222">
        <v>75</v>
      </c>
      <c r="X51" s="222">
        <v>74</v>
      </c>
    </row>
    <row r="52" spans="1:24" x14ac:dyDescent="0.35">
      <c r="A52" s="16"/>
      <c r="B52" s="79"/>
      <c r="C52" s="33"/>
      <c r="D52" s="33"/>
      <c r="E52" s="33"/>
      <c r="F52" s="79"/>
      <c r="G52" s="33"/>
      <c r="H52" s="33"/>
      <c r="I52" s="33"/>
      <c r="J52" s="79"/>
      <c r="K52" s="33"/>
      <c r="L52" s="33"/>
      <c r="M52" s="33"/>
      <c r="N52" s="79"/>
      <c r="O52" s="33"/>
      <c r="P52" s="33"/>
      <c r="Q52" s="33"/>
      <c r="R52" s="16"/>
      <c r="S52" s="16"/>
      <c r="T52" s="33"/>
      <c r="U52" s="155"/>
      <c r="V52" t="s">
        <v>398</v>
      </c>
      <c r="W52">
        <v>1824</v>
      </c>
      <c r="X52">
        <v>1308</v>
      </c>
    </row>
    <row r="53" spans="1:24" ht="15" thickBot="1" x14ac:dyDescent="0.4">
      <c r="A53" s="25" t="s">
        <v>113</v>
      </c>
      <c r="B53" s="80">
        <v>2360</v>
      </c>
      <c r="C53" s="28">
        <v>1373</v>
      </c>
      <c r="D53" s="27">
        <v>0.58177966101694911</v>
      </c>
      <c r="E53" s="296"/>
      <c r="F53" s="80">
        <v>2427</v>
      </c>
      <c r="G53" s="28">
        <v>1281</v>
      </c>
      <c r="H53" s="27">
        <v>0.52781211372064274</v>
      </c>
      <c r="I53" s="296"/>
      <c r="J53" s="80">
        <v>2619</v>
      </c>
      <c r="K53" s="28">
        <v>1438</v>
      </c>
      <c r="L53" s="27">
        <v>0.54906452844597176</v>
      </c>
      <c r="M53" s="296"/>
      <c r="N53" s="80">
        <v>2540</v>
      </c>
      <c r="O53" s="28">
        <v>1664</v>
      </c>
      <c r="P53" s="27">
        <v>0.65511811023622046</v>
      </c>
      <c r="Q53" s="296"/>
      <c r="R53" s="96">
        <f>SUM(R6:R51)</f>
        <v>1824</v>
      </c>
      <c r="S53" s="96">
        <f>SUM(S6:S51)</f>
        <v>1308</v>
      </c>
      <c r="T53" s="83">
        <f>S53/R53</f>
        <v>0.71710526315789469</v>
      </c>
      <c r="V53" s="221"/>
      <c r="W53" s="222"/>
      <c r="X53" s="222"/>
    </row>
    <row r="54" spans="1:24" ht="15" thickTop="1" x14ac:dyDescent="0.35"/>
  </sheetData>
  <sortState ref="A6:T51">
    <sortCondition ref="A6"/>
  </sortState>
  <mergeCells count="5">
    <mergeCell ref="C3:D3"/>
    <mergeCell ref="G3:H3"/>
    <mergeCell ref="K3:L3"/>
    <mergeCell ref="S3:T3"/>
    <mergeCell ref="O3:P3"/>
  </mergeCells>
  <pageMargins left="0.7" right="0.7" top="0.75" bottom="0.75" header="0.3" footer="0.3"/>
  <pageSetup orientation="portrait" r:id="rId1"/>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Y54"/>
  <sheetViews>
    <sheetView workbookViewId="0">
      <pane xSplit="1" ySplit="5" topLeftCell="Q6" activePane="bottomRight" state="frozen"/>
      <selection activeCell="D5" sqref="D5:E5"/>
      <selection pane="topRight" activeCell="D5" sqref="D5:E5"/>
      <selection pane="bottomLeft" activeCell="D5" sqref="D5:E5"/>
      <selection pane="bottomRight" activeCell="D5" sqref="D5:E5"/>
    </sheetView>
  </sheetViews>
  <sheetFormatPr defaultRowHeight="14.5" x14ac:dyDescent="0.35"/>
  <cols>
    <col min="1" max="1" width="49.26953125" bestFit="1" customWidth="1"/>
    <col min="2" max="2" width="12.54296875" bestFit="1" customWidth="1"/>
    <col min="4" max="4" width="11.54296875" bestFit="1" customWidth="1"/>
    <col min="5" max="5" width="1.7265625" customWidth="1"/>
    <col min="6" max="6" width="12.54296875" bestFit="1" customWidth="1"/>
    <col min="8" max="8" width="11.54296875" bestFit="1" customWidth="1"/>
    <col min="9" max="9" width="1.7265625" customWidth="1"/>
    <col min="10" max="10" width="12.54296875" bestFit="1" customWidth="1"/>
    <col min="12" max="12" width="11.54296875" bestFit="1" customWidth="1"/>
    <col min="13" max="13" width="1.7265625" customWidth="1"/>
    <col min="14" max="14" width="12.54296875" bestFit="1" customWidth="1"/>
    <col min="16" max="16" width="11.54296875" bestFit="1" customWidth="1"/>
    <col min="17" max="17" width="1.7265625" customWidth="1"/>
    <col min="18" max="18" width="12.54296875" bestFit="1" customWidth="1"/>
    <col min="20" max="20" width="11.54296875" bestFit="1" customWidth="1"/>
    <col min="22" max="22" width="27.7265625" customWidth="1"/>
    <col min="23" max="23" width="12" bestFit="1" customWidth="1"/>
    <col min="25" max="25" width="12" bestFit="1" customWidth="1"/>
  </cols>
  <sheetData>
    <row r="1" spans="1:25" x14ac:dyDescent="0.35">
      <c r="A1" s="29">
        <v>1</v>
      </c>
      <c r="B1" s="29">
        <v>2</v>
      </c>
      <c r="C1" s="29">
        <v>3</v>
      </c>
      <c r="D1" s="29">
        <v>4</v>
      </c>
      <c r="E1" s="29">
        <v>5</v>
      </c>
      <c r="F1" s="29">
        <v>6</v>
      </c>
      <c r="G1" s="29">
        <v>7</v>
      </c>
      <c r="H1" s="29">
        <v>8</v>
      </c>
      <c r="I1" s="29">
        <v>9</v>
      </c>
      <c r="J1" s="29">
        <v>10</v>
      </c>
      <c r="K1" s="29">
        <v>11</v>
      </c>
      <c r="L1" s="29">
        <v>12</v>
      </c>
      <c r="M1" s="29">
        <v>13</v>
      </c>
      <c r="N1" s="29">
        <v>14</v>
      </c>
      <c r="O1" s="29">
        <v>15</v>
      </c>
      <c r="P1" s="29">
        <v>16</v>
      </c>
      <c r="Q1" s="29">
        <v>17</v>
      </c>
      <c r="R1" s="29">
        <v>18</v>
      </c>
      <c r="S1" s="29">
        <v>19</v>
      </c>
      <c r="T1" s="29">
        <v>20</v>
      </c>
    </row>
    <row r="2" spans="1:25" x14ac:dyDescent="0.35">
      <c r="B2" s="45"/>
      <c r="C2" s="45"/>
      <c r="D2" s="45"/>
      <c r="E2" s="37"/>
      <c r="F2" s="45"/>
      <c r="G2" s="45"/>
      <c r="H2" s="45"/>
      <c r="I2" s="37"/>
      <c r="J2" s="45"/>
      <c r="K2" s="45"/>
      <c r="L2" s="45"/>
      <c r="M2" s="37"/>
      <c r="N2" s="45"/>
      <c r="O2" s="45"/>
      <c r="P2" s="45"/>
      <c r="Q2" s="37"/>
      <c r="R2" s="45"/>
      <c r="S2" s="44"/>
      <c r="T2" s="45"/>
    </row>
    <row r="3" spans="1:25" x14ac:dyDescent="0.35">
      <c r="B3" s="46" t="s">
        <v>139</v>
      </c>
      <c r="C3" s="428" t="s">
        <v>140</v>
      </c>
      <c r="D3" s="428"/>
      <c r="E3" s="71"/>
      <c r="F3" s="46" t="s">
        <v>139</v>
      </c>
      <c r="G3" s="428" t="s">
        <v>140</v>
      </c>
      <c r="H3" s="428"/>
      <c r="I3" s="71"/>
      <c r="J3" s="46" t="s">
        <v>139</v>
      </c>
      <c r="K3" s="428" t="s">
        <v>140</v>
      </c>
      <c r="L3" s="428"/>
      <c r="M3" s="71"/>
      <c r="N3" s="46" t="s">
        <v>139</v>
      </c>
      <c r="O3" s="428" t="s">
        <v>140</v>
      </c>
      <c r="P3" s="428"/>
      <c r="Q3" s="71"/>
      <c r="R3" s="46" t="s">
        <v>139</v>
      </c>
      <c r="S3" s="428" t="s">
        <v>140</v>
      </c>
      <c r="T3" s="428"/>
      <c r="X3" s="15" t="s">
        <v>140</v>
      </c>
      <c r="Y3" s="15"/>
    </row>
    <row r="4" spans="1:25" x14ac:dyDescent="0.35">
      <c r="B4" s="25">
        <v>2017</v>
      </c>
      <c r="C4" s="25">
        <v>2017</v>
      </c>
      <c r="D4" s="25">
        <v>2017</v>
      </c>
      <c r="E4" s="25"/>
      <c r="F4" s="25">
        <v>2018</v>
      </c>
      <c r="G4" s="25">
        <v>2018</v>
      </c>
      <c r="H4" s="25">
        <v>2018</v>
      </c>
      <c r="I4" s="25"/>
      <c r="J4" s="25">
        <v>2019</v>
      </c>
      <c r="K4" s="25">
        <v>2019</v>
      </c>
      <c r="L4" s="25">
        <v>2019</v>
      </c>
      <c r="M4" s="25"/>
      <c r="N4" s="25">
        <v>2020</v>
      </c>
      <c r="O4" s="25">
        <v>2020</v>
      </c>
      <c r="P4" s="25">
        <v>2020</v>
      </c>
      <c r="Q4" s="25"/>
      <c r="R4" s="25">
        <v>2021</v>
      </c>
      <c r="S4" s="25">
        <v>2021</v>
      </c>
      <c r="T4" s="25">
        <v>2021</v>
      </c>
      <c r="V4" t="s">
        <v>347</v>
      </c>
      <c r="W4" t="s">
        <v>41</v>
      </c>
      <c r="X4" t="s">
        <v>39</v>
      </c>
      <c r="Y4" t="s">
        <v>41</v>
      </c>
    </row>
    <row r="5" spans="1:25" ht="18" customHeight="1" x14ac:dyDescent="0.35">
      <c r="A5" s="39" t="s">
        <v>36</v>
      </c>
      <c r="B5" s="40" t="s">
        <v>41</v>
      </c>
      <c r="C5" s="40" t="s">
        <v>39</v>
      </c>
      <c r="D5" s="40" t="s">
        <v>41</v>
      </c>
      <c r="E5" s="40"/>
      <c r="F5" s="40" t="s">
        <v>41</v>
      </c>
      <c r="G5" s="40" t="s">
        <v>39</v>
      </c>
      <c r="H5" s="40" t="s">
        <v>41</v>
      </c>
      <c r="I5" s="40"/>
      <c r="J5" s="40" t="s">
        <v>41</v>
      </c>
      <c r="K5" s="40" t="s">
        <v>39</v>
      </c>
      <c r="L5" s="40" t="s">
        <v>41</v>
      </c>
      <c r="M5" s="40"/>
      <c r="N5" s="40" t="s">
        <v>41</v>
      </c>
      <c r="O5" s="40" t="s">
        <v>39</v>
      </c>
      <c r="P5" s="40" t="s">
        <v>41</v>
      </c>
      <c r="Q5" s="40"/>
      <c r="R5" s="40" t="s">
        <v>41</v>
      </c>
      <c r="S5" s="40" t="s">
        <v>39</v>
      </c>
      <c r="T5" s="40" t="s">
        <v>41</v>
      </c>
    </row>
    <row r="6" spans="1:25" x14ac:dyDescent="0.35">
      <c r="A6" s="16" t="s">
        <v>345</v>
      </c>
      <c r="B6" s="34">
        <v>2632643.0700000008</v>
      </c>
      <c r="C6" s="43">
        <v>8</v>
      </c>
      <c r="D6" s="17">
        <v>34012.89</v>
      </c>
      <c r="E6" s="34"/>
      <c r="F6" s="34">
        <v>1929272.6899999997</v>
      </c>
      <c r="G6" s="43">
        <v>9</v>
      </c>
      <c r="H6" s="17">
        <v>22913.93</v>
      </c>
      <c r="I6" s="34"/>
      <c r="J6" s="34">
        <v>2168573.3300000005</v>
      </c>
      <c r="K6" s="43">
        <v>11</v>
      </c>
      <c r="L6" s="17">
        <v>83278.710000000006</v>
      </c>
      <c r="M6" s="34"/>
      <c r="N6" s="34">
        <v>2599919.1199999996</v>
      </c>
      <c r="O6" s="43">
        <v>12</v>
      </c>
      <c r="P6" s="17">
        <v>134427.54999999999</v>
      </c>
      <c r="Q6" s="34"/>
      <c r="R6" s="89">
        <v>2748931.75</v>
      </c>
      <c r="S6" s="98">
        <v>13</v>
      </c>
      <c r="T6" s="100">
        <v>55780.450000000004</v>
      </c>
      <c r="U6" s="155" t="str">
        <f t="shared" ref="U6:U51" si="0">IF(V6=A6,"OK","No")</f>
        <v>OK</v>
      </c>
      <c r="V6" t="s">
        <v>345</v>
      </c>
      <c r="W6">
        <v>2748931.75</v>
      </c>
      <c r="X6">
        <v>13</v>
      </c>
      <c r="Y6">
        <v>55780.450000000004</v>
      </c>
    </row>
    <row r="7" spans="1:25" x14ac:dyDescent="0.35">
      <c r="A7" s="16" t="s">
        <v>21</v>
      </c>
      <c r="B7" s="34">
        <v>12595752.529999994</v>
      </c>
      <c r="C7" s="43">
        <v>4</v>
      </c>
      <c r="D7" s="17">
        <v>215978.69</v>
      </c>
      <c r="E7" s="34"/>
      <c r="F7" s="34">
        <v>14239669.42</v>
      </c>
      <c r="G7" s="43">
        <v>4</v>
      </c>
      <c r="H7" s="17">
        <v>158187.24</v>
      </c>
      <c r="I7" s="34"/>
      <c r="J7" s="34">
        <v>9361543.0000000056</v>
      </c>
      <c r="K7" s="43">
        <v>5</v>
      </c>
      <c r="L7" s="17">
        <v>850025.47</v>
      </c>
      <c r="M7" s="34"/>
      <c r="N7" s="34">
        <v>16253982.500000013</v>
      </c>
      <c r="O7" s="43">
        <v>5</v>
      </c>
      <c r="P7" s="17">
        <v>1181669.8899999999</v>
      </c>
      <c r="Q7" s="34"/>
      <c r="R7" s="89">
        <v>12006475.309999991</v>
      </c>
      <c r="S7" s="98">
        <v>9</v>
      </c>
      <c r="T7" s="100">
        <v>1199991.6499999999</v>
      </c>
      <c r="U7" s="155" t="str">
        <f t="shared" si="0"/>
        <v>OK</v>
      </c>
      <c r="V7" t="s">
        <v>21</v>
      </c>
      <c r="W7">
        <v>12006475.309999991</v>
      </c>
      <c r="X7">
        <v>9</v>
      </c>
      <c r="Y7">
        <v>1199991.6499999999</v>
      </c>
    </row>
    <row r="8" spans="1:25" x14ac:dyDescent="0.35">
      <c r="A8" s="16" t="s">
        <v>357</v>
      </c>
      <c r="B8" s="34">
        <v>0</v>
      </c>
      <c r="C8" s="43">
        <v>0</v>
      </c>
      <c r="D8" s="17">
        <v>0</v>
      </c>
      <c r="E8" s="34"/>
      <c r="F8" s="34">
        <v>0</v>
      </c>
      <c r="G8" s="43">
        <v>0</v>
      </c>
      <c r="H8" s="17">
        <v>0</v>
      </c>
      <c r="I8" s="34"/>
      <c r="J8" s="34">
        <v>0</v>
      </c>
      <c r="K8" s="43">
        <v>0</v>
      </c>
      <c r="L8" s="17">
        <v>0</v>
      </c>
      <c r="M8" s="34"/>
      <c r="N8" s="34">
        <v>0</v>
      </c>
      <c r="O8" s="43">
        <v>0</v>
      </c>
      <c r="P8" s="17">
        <v>0</v>
      </c>
      <c r="Q8" s="34"/>
      <c r="R8" s="89">
        <v>0</v>
      </c>
      <c r="S8" s="98">
        <v>0</v>
      </c>
      <c r="T8" s="100">
        <v>0</v>
      </c>
      <c r="U8" s="155" t="str">
        <f t="shared" si="0"/>
        <v>OK</v>
      </c>
      <c r="V8" t="s">
        <v>357</v>
      </c>
      <c r="W8">
        <v>0</v>
      </c>
      <c r="X8">
        <v>0</v>
      </c>
      <c r="Y8">
        <v>0</v>
      </c>
    </row>
    <row r="9" spans="1:25" x14ac:dyDescent="0.35">
      <c r="A9" s="16" t="s">
        <v>0</v>
      </c>
      <c r="B9" s="34">
        <v>52735717.430000074</v>
      </c>
      <c r="C9" s="43">
        <v>151</v>
      </c>
      <c r="D9" s="17">
        <v>1950979.1</v>
      </c>
      <c r="E9" s="34"/>
      <c r="F9" s="34">
        <v>54196182.95000007</v>
      </c>
      <c r="G9" s="43">
        <v>163</v>
      </c>
      <c r="H9" s="17">
        <v>2923394.32</v>
      </c>
      <c r="I9" s="34"/>
      <c r="J9" s="34">
        <v>64181616.110000022</v>
      </c>
      <c r="K9" s="43">
        <v>181</v>
      </c>
      <c r="L9" s="17">
        <v>5067640.3</v>
      </c>
      <c r="M9" s="34"/>
      <c r="N9" s="34">
        <v>66698152.18999999</v>
      </c>
      <c r="O9" s="43">
        <v>190</v>
      </c>
      <c r="P9" s="17">
        <v>5433809.7199999988</v>
      </c>
      <c r="Q9" s="34"/>
      <c r="R9" s="89">
        <v>75606910.519999996</v>
      </c>
      <c r="S9" s="98">
        <v>213</v>
      </c>
      <c r="T9" s="100">
        <v>6601670.6099999994</v>
      </c>
      <c r="U9" s="155" t="str">
        <f t="shared" si="0"/>
        <v>OK</v>
      </c>
      <c r="V9" t="s">
        <v>0</v>
      </c>
      <c r="W9">
        <v>75606910.519999996</v>
      </c>
      <c r="X9">
        <v>213</v>
      </c>
      <c r="Y9">
        <v>6601670.6099999994</v>
      </c>
    </row>
    <row r="10" spans="1:25" x14ac:dyDescent="0.35">
      <c r="A10" s="16" t="s">
        <v>1</v>
      </c>
      <c r="B10" s="34">
        <v>72235331.470000029</v>
      </c>
      <c r="C10" s="43">
        <v>206</v>
      </c>
      <c r="D10" s="17">
        <v>2738252.3200000003</v>
      </c>
      <c r="E10" s="34"/>
      <c r="F10" s="34">
        <v>81829732.570000127</v>
      </c>
      <c r="G10" s="43">
        <v>212</v>
      </c>
      <c r="H10" s="17">
        <v>3227097.9500000007</v>
      </c>
      <c r="I10" s="34"/>
      <c r="J10" s="34">
        <v>94232366.069999859</v>
      </c>
      <c r="K10" s="43">
        <v>201</v>
      </c>
      <c r="L10" s="17">
        <v>4356030.9399999995</v>
      </c>
      <c r="M10" s="34"/>
      <c r="N10" s="34">
        <v>108629992.79000013</v>
      </c>
      <c r="O10" s="43">
        <v>254</v>
      </c>
      <c r="P10" s="17">
        <v>7441665.120000001</v>
      </c>
      <c r="Q10" s="34"/>
      <c r="R10" s="89">
        <v>119589923.54999991</v>
      </c>
      <c r="S10" s="98">
        <v>289</v>
      </c>
      <c r="T10" s="100">
        <v>7024670.9699999951</v>
      </c>
      <c r="U10" s="155" t="str">
        <f t="shared" si="0"/>
        <v>OK</v>
      </c>
      <c r="V10" t="s">
        <v>1</v>
      </c>
      <c r="W10">
        <v>119589923.54999991</v>
      </c>
      <c r="X10">
        <v>289</v>
      </c>
      <c r="Y10">
        <v>7024670.9699999951</v>
      </c>
    </row>
    <row r="11" spans="1:25" x14ac:dyDescent="0.35">
      <c r="A11" s="16" t="s">
        <v>2</v>
      </c>
      <c r="B11" s="34">
        <v>10391631.709999999</v>
      </c>
      <c r="C11" s="43">
        <v>5</v>
      </c>
      <c r="D11" s="17">
        <v>1588956.56</v>
      </c>
      <c r="E11" s="34"/>
      <c r="F11" s="34">
        <v>7216239.8699999992</v>
      </c>
      <c r="G11" s="43">
        <v>3</v>
      </c>
      <c r="H11" s="17">
        <v>8943.36</v>
      </c>
      <c r="I11" s="34"/>
      <c r="J11" s="34">
        <v>7430436.6100000022</v>
      </c>
      <c r="K11" s="43">
        <v>6</v>
      </c>
      <c r="L11" s="17">
        <v>33199.949999999997</v>
      </c>
      <c r="M11" s="34"/>
      <c r="N11" s="34">
        <v>8564076.8800000027</v>
      </c>
      <c r="O11" s="43">
        <v>11</v>
      </c>
      <c r="P11" s="17">
        <v>331684.02</v>
      </c>
      <c r="Q11" s="34"/>
      <c r="R11" s="89">
        <v>9554083.7299999967</v>
      </c>
      <c r="S11" s="98">
        <v>13</v>
      </c>
      <c r="T11" s="100">
        <v>502338.53</v>
      </c>
      <c r="U11" s="155" t="str">
        <f t="shared" si="0"/>
        <v>OK</v>
      </c>
      <c r="V11" t="s">
        <v>2</v>
      </c>
      <c r="W11">
        <v>9554083.7299999967</v>
      </c>
      <c r="X11">
        <v>13</v>
      </c>
      <c r="Y11">
        <v>502338.53</v>
      </c>
    </row>
    <row r="12" spans="1:25" x14ac:dyDescent="0.35">
      <c r="A12" s="16" t="s">
        <v>26</v>
      </c>
      <c r="B12" s="34"/>
      <c r="C12" s="43"/>
      <c r="D12" s="17"/>
      <c r="E12" s="34"/>
      <c r="F12" s="34"/>
      <c r="G12" s="43"/>
      <c r="H12" s="17"/>
      <c r="I12" s="34"/>
      <c r="J12" s="34"/>
      <c r="K12" s="43"/>
      <c r="L12" s="17"/>
      <c r="M12" s="34"/>
      <c r="N12" s="34">
        <v>1757.49</v>
      </c>
      <c r="O12" s="43">
        <v>1</v>
      </c>
      <c r="P12" s="17">
        <v>7.49</v>
      </c>
      <c r="Q12" s="34"/>
      <c r="R12" s="89">
        <v>1759.23</v>
      </c>
      <c r="S12" s="98">
        <v>1</v>
      </c>
      <c r="T12" s="100">
        <v>7.0000000000000007E-2</v>
      </c>
      <c r="U12" s="155" t="str">
        <f t="shared" si="0"/>
        <v>OK</v>
      </c>
      <c r="V12" t="s">
        <v>26</v>
      </c>
      <c r="W12">
        <v>1759.23</v>
      </c>
      <c r="X12">
        <v>1</v>
      </c>
      <c r="Y12">
        <v>7.0000000000000007E-2</v>
      </c>
    </row>
    <row r="13" spans="1:25" x14ac:dyDescent="0.35">
      <c r="A13" s="16" t="s">
        <v>306</v>
      </c>
      <c r="B13" s="34">
        <v>2255311.1299999994</v>
      </c>
      <c r="C13" s="43">
        <v>27</v>
      </c>
      <c r="D13" s="17">
        <v>151151.56000000003</v>
      </c>
      <c r="E13" s="34"/>
      <c r="F13" s="34">
        <v>3509531.620000001</v>
      </c>
      <c r="G13" s="43">
        <v>28</v>
      </c>
      <c r="H13" s="17">
        <v>189372</v>
      </c>
      <c r="I13" s="34"/>
      <c r="J13" s="34">
        <v>4235794.92</v>
      </c>
      <c r="K13" s="43">
        <v>27</v>
      </c>
      <c r="L13" s="17">
        <v>95812.5</v>
      </c>
      <c r="M13" s="34"/>
      <c r="N13" s="34">
        <v>8728383.089999998</v>
      </c>
      <c r="O13" s="43">
        <v>31</v>
      </c>
      <c r="P13" s="17">
        <v>226694.55000000002</v>
      </c>
      <c r="Q13" s="34"/>
      <c r="R13" s="89">
        <v>8634138.0399999972</v>
      </c>
      <c r="S13" s="98">
        <v>32</v>
      </c>
      <c r="T13" s="100">
        <v>215658.83000000005</v>
      </c>
      <c r="U13" s="155" t="str">
        <f t="shared" si="0"/>
        <v>OK</v>
      </c>
      <c r="V13" t="s">
        <v>306</v>
      </c>
      <c r="W13">
        <v>8634138.0399999972</v>
      </c>
      <c r="X13">
        <v>32</v>
      </c>
      <c r="Y13">
        <v>215658.83000000005</v>
      </c>
    </row>
    <row r="14" spans="1:25" x14ac:dyDescent="0.35">
      <c r="A14" s="16" t="s">
        <v>3</v>
      </c>
      <c r="B14" s="34">
        <v>46777509.130000018</v>
      </c>
      <c r="C14" s="43">
        <v>59</v>
      </c>
      <c r="D14" s="17">
        <v>4309799.03</v>
      </c>
      <c r="E14" s="34"/>
      <c r="F14" s="34">
        <v>41359880.289999999</v>
      </c>
      <c r="G14" s="43">
        <v>56</v>
      </c>
      <c r="H14" s="17">
        <v>4589311.93</v>
      </c>
      <c r="I14" s="34"/>
      <c r="J14" s="34">
        <v>49894102.720000029</v>
      </c>
      <c r="K14" s="43">
        <v>73</v>
      </c>
      <c r="L14" s="17">
        <v>6044213.1799999997</v>
      </c>
      <c r="M14" s="34"/>
      <c r="N14" s="34">
        <v>52043803.720000058</v>
      </c>
      <c r="O14" s="43">
        <v>69</v>
      </c>
      <c r="P14" s="17">
        <v>4447565.2000000011</v>
      </c>
      <c r="Q14" s="34"/>
      <c r="R14" s="89">
        <v>60006872.400000006</v>
      </c>
      <c r="S14" s="98">
        <v>73</v>
      </c>
      <c r="T14" s="100">
        <v>6640436.5900000008</v>
      </c>
      <c r="U14" s="155" t="str">
        <f t="shared" si="0"/>
        <v>OK</v>
      </c>
      <c r="V14" t="s">
        <v>3</v>
      </c>
      <c r="W14">
        <v>60006872.400000006</v>
      </c>
      <c r="X14">
        <v>73</v>
      </c>
      <c r="Y14">
        <v>6640436.5900000008</v>
      </c>
    </row>
    <row r="15" spans="1:25" x14ac:dyDescent="0.35">
      <c r="A15" s="16" t="s">
        <v>22</v>
      </c>
      <c r="B15" s="34">
        <v>264247.56</v>
      </c>
      <c r="C15" s="43">
        <v>7</v>
      </c>
      <c r="D15" s="17">
        <v>178190.64</v>
      </c>
      <c r="E15" s="34"/>
      <c r="F15" s="34">
        <v>196086.72</v>
      </c>
      <c r="G15" s="43">
        <v>3</v>
      </c>
      <c r="H15" s="17">
        <v>557.14999999999782</v>
      </c>
      <c r="I15" s="34"/>
      <c r="J15" s="34">
        <v>142240.08999999997</v>
      </c>
      <c r="K15" s="43">
        <v>8</v>
      </c>
      <c r="L15" s="17">
        <v>181880.83999999997</v>
      </c>
      <c r="M15" s="34"/>
      <c r="N15" s="34">
        <v>150103.06</v>
      </c>
      <c r="O15" s="43">
        <v>9</v>
      </c>
      <c r="P15" s="17">
        <v>184234.6</v>
      </c>
      <c r="Q15" s="34"/>
      <c r="R15" s="89">
        <v>187611.22999999998</v>
      </c>
      <c r="S15" s="98">
        <v>9</v>
      </c>
      <c r="T15" s="100">
        <v>184368.84</v>
      </c>
      <c r="U15" s="155" t="str">
        <f t="shared" si="0"/>
        <v>OK</v>
      </c>
      <c r="V15" t="s">
        <v>22</v>
      </c>
      <c r="W15">
        <v>187611.22999999998</v>
      </c>
      <c r="X15">
        <v>9</v>
      </c>
      <c r="Y15">
        <v>184368.84</v>
      </c>
    </row>
    <row r="16" spans="1:25" x14ac:dyDescent="0.35">
      <c r="A16" s="16" t="s">
        <v>23</v>
      </c>
      <c r="B16" s="34">
        <v>0</v>
      </c>
      <c r="C16" s="43">
        <v>0</v>
      </c>
      <c r="D16" s="17">
        <v>0</v>
      </c>
      <c r="E16" s="34"/>
      <c r="F16" s="34">
        <v>0</v>
      </c>
      <c r="G16" s="43">
        <v>0</v>
      </c>
      <c r="H16" s="17">
        <v>0</v>
      </c>
      <c r="I16" s="34"/>
      <c r="J16" s="34">
        <v>0</v>
      </c>
      <c r="K16" s="43">
        <v>0</v>
      </c>
      <c r="L16" s="17">
        <v>0</v>
      </c>
      <c r="M16" s="34"/>
      <c r="N16" s="34">
        <v>0</v>
      </c>
      <c r="O16" s="43">
        <v>0</v>
      </c>
      <c r="P16" s="17">
        <v>0</v>
      </c>
      <c r="Q16" s="34"/>
      <c r="R16" s="89">
        <v>0</v>
      </c>
      <c r="S16" s="98">
        <v>0</v>
      </c>
      <c r="T16" s="100">
        <v>0</v>
      </c>
      <c r="U16" s="155" t="str">
        <f t="shared" si="0"/>
        <v>OK</v>
      </c>
      <c r="V16" t="s">
        <v>23</v>
      </c>
      <c r="W16">
        <v>0</v>
      </c>
      <c r="X16">
        <v>0</v>
      </c>
      <c r="Y16">
        <v>0</v>
      </c>
    </row>
    <row r="17" spans="1:25" x14ac:dyDescent="0.35">
      <c r="A17" s="16" t="s">
        <v>4</v>
      </c>
      <c r="B17" s="34">
        <v>1942102.8900000006</v>
      </c>
      <c r="C17" s="43">
        <v>20</v>
      </c>
      <c r="D17" s="17">
        <v>26045.84</v>
      </c>
      <c r="E17" s="34"/>
      <c r="F17" s="34">
        <v>2113897.8300000005</v>
      </c>
      <c r="G17" s="43">
        <v>17</v>
      </c>
      <c r="H17" s="17">
        <v>4173.9799999999996</v>
      </c>
      <c r="I17" s="34"/>
      <c r="J17" s="34">
        <v>3168780.9200000004</v>
      </c>
      <c r="K17" s="43">
        <v>17</v>
      </c>
      <c r="L17" s="17">
        <v>10725.869999999999</v>
      </c>
      <c r="M17" s="34"/>
      <c r="N17" s="34">
        <v>3557493.12</v>
      </c>
      <c r="O17" s="43">
        <v>19</v>
      </c>
      <c r="P17" s="17">
        <v>4970.58</v>
      </c>
      <c r="Q17" s="34"/>
      <c r="R17" s="89">
        <v>5426130.8599999975</v>
      </c>
      <c r="S17" s="98">
        <v>21</v>
      </c>
      <c r="T17" s="100">
        <v>77252.149999999994</v>
      </c>
      <c r="U17" s="155" t="str">
        <f t="shared" si="0"/>
        <v>OK</v>
      </c>
      <c r="V17" t="s">
        <v>4</v>
      </c>
      <c r="W17">
        <v>5426130.8599999975</v>
      </c>
      <c r="X17">
        <v>21</v>
      </c>
      <c r="Y17">
        <v>77252.149999999994</v>
      </c>
    </row>
    <row r="18" spans="1:25" x14ac:dyDescent="0.35">
      <c r="A18" s="16" t="s">
        <v>6</v>
      </c>
      <c r="B18" s="34">
        <v>1403352.75</v>
      </c>
      <c r="C18" s="43">
        <v>7</v>
      </c>
      <c r="D18" s="17">
        <v>66057.549999999988</v>
      </c>
      <c r="E18" s="34"/>
      <c r="F18" s="34">
        <v>1355842.6099999987</v>
      </c>
      <c r="G18" s="43">
        <v>8</v>
      </c>
      <c r="H18" s="17">
        <v>69402.420000000013</v>
      </c>
      <c r="I18" s="34"/>
      <c r="J18" s="34">
        <v>1546240.2400000009</v>
      </c>
      <c r="K18" s="43">
        <v>8</v>
      </c>
      <c r="L18" s="17">
        <v>69179.520000000004</v>
      </c>
      <c r="M18" s="34"/>
      <c r="N18" s="34">
        <v>1796798.8800000004</v>
      </c>
      <c r="O18" s="43">
        <v>7</v>
      </c>
      <c r="P18" s="17">
        <v>172581.84999999998</v>
      </c>
      <c r="Q18" s="34"/>
      <c r="R18" s="89">
        <v>2108124.8300000005</v>
      </c>
      <c r="S18" s="98">
        <v>9</v>
      </c>
      <c r="T18" s="100">
        <v>227283.50999999995</v>
      </c>
      <c r="U18" s="155" t="str">
        <f t="shared" si="0"/>
        <v>OK</v>
      </c>
      <c r="V18" t="s">
        <v>6</v>
      </c>
      <c r="W18">
        <v>2108124.8300000005</v>
      </c>
      <c r="X18">
        <v>9</v>
      </c>
      <c r="Y18">
        <v>227283.50999999995</v>
      </c>
    </row>
    <row r="19" spans="1:25" x14ac:dyDescent="0.35">
      <c r="A19" s="16" t="s">
        <v>5</v>
      </c>
      <c r="B19" s="34">
        <v>26977.55</v>
      </c>
      <c r="C19" s="43">
        <v>2</v>
      </c>
      <c r="D19" s="17">
        <v>3352.64</v>
      </c>
      <c r="E19" s="34"/>
      <c r="F19" s="34">
        <v>29694.19</v>
      </c>
      <c r="G19" s="43">
        <v>3</v>
      </c>
      <c r="H19" s="17">
        <v>29694.19</v>
      </c>
      <c r="I19" s="34"/>
      <c r="J19" s="34">
        <v>31310.65</v>
      </c>
      <c r="K19" s="43">
        <v>2</v>
      </c>
      <c r="L19" s="17">
        <v>4347.95</v>
      </c>
      <c r="M19" s="34"/>
      <c r="N19" s="34">
        <v>34441.050000000003</v>
      </c>
      <c r="O19" s="43">
        <v>2</v>
      </c>
      <c r="P19" s="17">
        <v>4928.3899999999994</v>
      </c>
      <c r="Q19" s="34"/>
      <c r="R19" s="89">
        <v>37103.409999999996</v>
      </c>
      <c r="S19" s="98">
        <v>2</v>
      </c>
      <c r="T19" s="100">
        <v>4963.63</v>
      </c>
      <c r="U19" s="155" t="str">
        <f t="shared" si="0"/>
        <v>OK</v>
      </c>
      <c r="V19" t="s">
        <v>5</v>
      </c>
      <c r="W19">
        <v>37103.409999999996</v>
      </c>
      <c r="X19">
        <v>2</v>
      </c>
      <c r="Y19">
        <v>4963.63</v>
      </c>
    </row>
    <row r="20" spans="1:25" x14ac:dyDescent="0.35">
      <c r="A20" s="16" t="s">
        <v>24</v>
      </c>
      <c r="B20" s="34">
        <v>0</v>
      </c>
      <c r="C20" s="43">
        <v>0</v>
      </c>
      <c r="D20" s="17">
        <v>0</v>
      </c>
      <c r="E20" s="34"/>
      <c r="F20" s="34">
        <v>0</v>
      </c>
      <c r="G20" s="43">
        <v>0</v>
      </c>
      <c r="H20" s="17">
        <v>0</v>
      </c>
      <c r="I20" s="34"/>
      <c r="J20" s="34">
        <v>0</v>
      </c>
      <c r="K20" s="43">
        <v>0</v>
      </c>
      <c r="L20" s="17">
        <v>0</v>
      </c>
      <c r="M20" s="34"/>
      <c r="N20" s="34">
        <v>0</v>
      </c>
      <c r="O20" s="43">
        <v>0</v>
      </c>
      <c r="P20" s="17">
        <v>0</v>
      </c>
      <c r="Q20" s="34"/>
      <c r="R20" s="89">
        <v>0</v>
      </c>
      <c r="S20" s="98">
        <v>0</v>
      </c>
      <c r="T20" s="100">
        <v>0</v>
      </c>
      <c r="U20" s="155" t="str">
        <f t="shared" si="0"/>
        <v>OK</v>
      </c>
      <c r="V20" t="s">
        <v>24</v>
      </c>
      <c r="W20">
        <v>0</v>
      </c>
      <c r="X20">
        <v>0</v>
      </c>
      <c r="Y20">
        <v>0</v>
      </c>
    </row>
    <row r="21" spans="1:25" x14ac:dyDescent="0.35">
      <c r="A21" s="16" t="s">
        <v>7</v>
      </c>
      <c r="B21" s="34">
        <v>36505894.139999993</v>
      </c>
      <c r="C21" s="43">
        <v>55</v>
      </c>
      <c r="D21" s="17">
        <v>2819306.9200000004</v>
      </c>
      <c r="E21" s="34"/>
      <c r="F21" s="34">
        <v>35785650.919999972</v>
      </c>
      <c r="G21" s="43">
        <v>54</v>
      </c>
      <c r="H21" s="17">
        <v>3234249.67</v>
      </c>
      <c r="I21" s="34"/>
      <c r="J21" s="34">
        <v>34979407.390000001</v>
      </c>
      <c r="K21" s="43">
        <v>59</v>
      </c>
      <c r="L21" s="17">
        <v>3149099.1399999997</v>
      </c>
      <c r="M21" s="34"/>
      <c r="N21" s="34">
        <v>36933319.610000037</v>
      </c>
      <c r="O21" s="43">
        <v>70</v>
      </c>
      <c r="P21" s="17">
        <v>6189880.4100000011</v>
      </c>
      <c r="Q21" s="34"/>
      <c r="R21" s="89">
        <v>43761098.17999994</v>
      </c>
      <c r="S21" s="98">
        <v>86</v>
      </c>
      <c r="T21" s="100">
        <v>6649511.6399999987</v>
      </c>
      <c r="U21" s="155" t="str">
        <f t="shared" si="0"/>
        <v>OK</v>
      </c>
      <c r="V21" t="s">
        <v>7</v>
      </c>
      <c r="W21">
        <v>43761098.17999994</v>
      </c>
      <c r="X21">
        <v>86</v>
      </c>
      <c r="Y21">
        <v>6649511.6399999987</v>
      </c>
    </row>
    <row r="22" spans="1:25" x14ac:dyDescent="0.35">
      <c r="A22" s="16" t="s">
        <v>8</v>
      </c>
      <c r="B22" s="34">
        <v>4201481.2699999996</v>
      </c>
      <c r="C22" s="43">
        <v>4</v>
      </c>
      <c r="D22" s="17">
        <v>179095.04000000001</v>
      </c>
      <c r="E22" s="34"/>
      <c r="F22" s="34">
        <v>4325716.63</v>
      </c>
      <c r="G22" s="43">
        <v>3</v>
      </c>
      <c r="H22" s="17">
        <v>337723.07</v>
      </c>
      <c r="I22" s="34"/>
      <c r="J22" s="34">
        <v>4280348.5799999991</v>
      </c>
      <c r="K22" s="43">
        <v>2</v>
      </c>
      <c r="L22" s="17">
        <v>69670.14</v>
      </c>
      <c r="M22" s="34"/>
      <c r="N22" s="34">
        <v>4427026.3399999989</v>
      </c>
      <c r="O22" s="43">
        <v>4</v>
      </c>
      <c r="P22" s="17">
        <v>140635.39000000001</v>
      </c>
      <c r="Q22" s="34"/>
      <c r="R22" s="89">
        <v>4626045.8699999973</v>
      </c>
      <c r="S22" s="98">
        <v>5</v>
      </c>
      <c r="T22" s="100">
        <v>174855.09</v>
      </c>
      <c r="U22" s="155" t="str">
        <f t="shared" si="0"/>
        <v>OK</v>
      </c>
      <c r="V22" t="s">
        <v>8</v>
      </c>
      <c r="W22">
        <v>4626045.8699999973</v>
      </c>
      <c r="X22">
        <v>5</v>
      </c>
      <c r="Y22">
        <v>174855.09</v>
      </c>
    </row>
    <row r="23" spans="1:25" x14ac:dyDescent="0.35">
      <c r="A23" s="16" t="s">
        <v>19</v>
      </c>
      <c r="B23" s="34">
        <v>204796433.32999966</v>
      </c>
      <c r="C23" s="43">
        <v>633</v>
      </c>
      <c r="D23" s="17">
        <v>16173854.25</v>
      </c>
      <c r="E23" s="34"/>
      <c r="F23" s="34">
        <v>225281432.6199995</v>
      </c>
      <c r="G23" s="43">
        <v>682</v>
      </c>
      <c r="H23" s="17">
        <v>19584575.629999995</v>
      </c>
      <c r="I23" s="34"/>
      <c r="J23" s="34">
        <v>239904519.41999939</v>
      </c>
      <c r="K23" s="43">
        <v>734</v>
      </c>
      <c r="L23" s="17">
        <v>23038204.890000001</v>
      </c>
      <c r="M23" s="34"/>
      <c r="N23" s="34">
        <v>253021637.76999938</v>
      </c>
      <c r="O23" s="43">
        <v>757</v>
      </c>
      <c r="P23" s="17">
        <v>24766256.469999995</v>
      </c>
      <c r="Q23" s="34"/>
      <c r="R23" s="89">
        <v>272762966.97999883</v>
      </c>
      <c r="S23" s="98">
        <v>805</v>
      </c>
      <c r="T23" s="100">
        <v>21704117.399999984</v>
      </c>
      <c r="U23" s="155" t="str">
        <f t="shared" si="0"/>
        <v>OK</v>
      </c>
      <c r="V23" t="s">
        <v>19</v>
      </c>
      <c r="W23">
        <v>272762966.97999883</v>
      </c>
      <c r="X23">
        <v>805</v>
      </c>
      <c r="Y23">
        <v>21704117.399999984</v>
      </c>
    </row>
    <row r="24" spans="1:25" x14ac:dyDescent="0.35">
      <c r="A24" s="16" t="s">
        <v>20</v>
      </c>
      <c r="B24" s="34">
        <v>0</v>
      </c>
      <c r="C24" s="43">
        <v>0</v>
      </c>
      <c r="D24" s="17">
        <v>0</v>
      </c>
      <c r="E24" s="34"/>
      <c r="F24" s="34">
        <v>0</v>
      </c>
      <c r="G24" s="43">
        <v>0</v>
      </c>
      <c r="H24" s="17">
        <v>0</v>
      </c>
      <c r="I24" s="34"/>
      <c r="J24" s="34">
        <v>0</v>
      </c>
      <c r="K24" s="43">
        <v>0</v>
      </c>
      <c r="L24" s="17">
        <v>0</v>
      </c>
      <c r="M24" s="34"/>
      <c r="N24" s="34">
        <v>0</v>
      </c>
      <c r="O24" s="43">
        <v>0</v>
      </c>
      <c r="P24" s="17">
        <v>0</v>
      </c>
      <c r="Q24" s="34"/>
      <c r="R24" s="89">
        <v>0</v>
      </c>
      <c r="S24" s="98">
        <v>0</v>
      </c>
      <c r="T24" s="100">
        <v>0</v>
      </c>
      <c r="U24" s="155" t="str">
        <f t="shared" si="0"/>
        <v>OK</v>
      </c>
      <c r="V24" t="s">
        <v>20</v>
      </c>
      <c r="W24">
        <v>0</v>
      </c>
      <c r="X24">
        <v>0</v>
      </c>
      <c r="Y24">
        <v>0</v>
      </c>
    </row>
    <row r="25" spans="1:25" x14ac:dyDescent="0.35">
      <c r="A25" s="16" t="s">
        <v>27</v>
      </c>
      <c r="B25" s="34">
        <v>111709.09999999999</v>
      </c>
      <c r="C25" s="43">
        <v>1</v>
      </c>
      <c r="D25" s="17">
        <v>7085.75</v>
      </c>
      <c r="E25" s="34"/>
      <c r="F25" s="34">
        <v>112372.69</v>
      </c>
      <c r="G25" s="43">
        <v>1</v>
      </c>
      <c r="H25" s="17">
        <v>7933.81</v>
      </c>
      <c r="I25" s="34"/>
      <c r="J25" s="34">
        <v>428063.07000000007</v>
      </c>
      <c r="K25" s="43">
        <v>3</v>
      </c>
      <c r="L25" s="17">
        <v>13081.38</v>
      </c>
      <c r="M25" s="34"/>
      <c r="N25" s="34">
        <v>443978.56999999995</v>
      </c>
      <c r="O25" s="43">
        <v>2</v>
      </c>
      <c r="P25" s="17">
        <v>11907.88</v>
      </c>
      <c r="Q25" s="34"/>
      <c r="R25" s="89">
        <v>545017.99</v>
      </c>
      <c r="S25" s="98">
        <v>1</v>
      </c>
      <c r="T25" s="100">
        <v>10831.53</v>
      </c>
      <c r="U25" s="155" t="str">
        <f t="shared" si="0"/>
        <v>OK</v>
      </c>
      <c r="V25" t="s">
        <v>27</v>
      </c>
      <c r="W25">
        <v>545017.99</v>
      </c>
      <c r="X25">
        <v>1</v>
      </c>
      <c r="Y25">
        <v>10831.53</v>
      </c>
    </row>
    <row r="26" spans="1:25" x14ac:dyDescent="0.35">
      <c r="A26" s="16" t="s">
        <v>9</v>
      </c>
      <c r="B26" s="34">
        <v>8255280.5799999982</v>
      </c>
      <c r="C26" s="43">
        <v>36</v>
      </c>
      <c r="D26" s="17">
        <v>311878.20999999996</v>
      </c>
      <c r="E26" s="34"/>
      <c r="F26" s="34">
        <v>8743595.8099999987</v>
      </c>
      <c r="G26" s="43">
        <v>30</v>
      </c>
      <c r="H26" s="17">
        <v>430474.07</v>
      </c>
      <c r="I26" s="34"/>
      <c r="J26" s="34">
        <v>10469771.749999994</v>
      </c>
      <c r="K26" s="43">
        <v>32</v>
      </c>
      <c r="L26" s="17">
        <v>467441.34</v>
      </c>
      <c r="M26" s="34"/>
      <c r="N26" s="34">
        <v>13251507.410000004</v>
      </c>
      <c r="O26" s="43">
        <v>20</v>
      </c>
      <c r="P26" s="17">
        <v>503525.91</v>
      </c>
      <c r="Q26" s="34"/>
      <c r="R26" s="89">
        <v>16162119.28999999</v>
      </c>
      <c r="S26" s="98">
        <v>28</v>
      </c>
      <c r="T26" s="100">
        <v>667996.2300000001</v>
      </c>
      <c r="U26" s="155" t="str">
        <f t="shared" si="0"/>
        <v>OK</v>
      </c>
      <c r="V26" t="s">
        <v>9</v>
      </c>
      <c r="W26">
        <v>16162119.28999999</v>
      </c>
      <c r="X26">
        <v>28</v>
      </c>
      <c r="Y26">
        <v>667996.2300000001</v>
      </c>
    </row>
    <row r="27" spans="1:25" x14ac:dyDescent="0.35">
      <c r="A27" s="16" t="s">
        <v>342</v>
      </c>
      <c r="B27" s="34">
        <v>32505031.100000005</v>
      </c>
      <c r="C27" s="43">
        <v>76</v>
      </c>
      <c r="D27" s="17">
        <v>107538.03999999995</v>
      </c>
      <c r="E27" s="34"/>
      <c r="F27" s="34">
        <v>31111926.070000026</v>
      </c>
      <c r="G27" s="43">
        <v>86</v>
      </c>
      <c r="H27" s="17">
        <v>865852.01</v>
      </c>
      <c r="I27" s="34"/>
      <c r="J27" s="34">
        <v>39274336.579999998</v>
      </c>
      <c r="K27" s="43">
        <v>90</v>
      </c>
      <c r="L27" s="17">
        <v>414392.79000000004</v>
      </c>
      <c r="M27" s="34"/>
      <c r="N27" s="34">
        <v>40701335.969999984</v>
      </c>
      <c r="O27" s="43">
        <v>93</v>
      </c>
      <c r="P27" s="17">
        <v>498043.06</v>
      </c>
      <c r="Q27" s="34"/>
      <c r="R27" s="89">
        <v>45809280.879999965</v>
      </c>
      <c r="S27" s="98">
        <v>106</v>
      </c>
      <c r="T27" s="100">
        <v>768648.23</v>
      </c>
      <c r="U27" s="155" t="str">
        <f t="shared" si="0"/>
        <v>OK</v>
      </c>
      <c r="V27" t="s">
        <v>342</v>
      </c>
      <c r="W27">
        <v>45809280.879999965</v>
      </c>
      <c r="X27">
        <v>106</v>
      </c>
      <c r="Y27">
        <v>768648.23</v>
      </c>
    </row>
    <row r="28" spans="1:25" x14ac:dyDescent="0.35">
      <c r="A28" s="16" t="s">
        <v>178</v>
      </c>
      <c r="B28" s="34">
        <v>4293116.8099999977</v>
      </c>
      <c r="C28" s="43">
        <v>9</v>
      </c>
      <c r="D28" s="17">
        <v>223545.39</v>
      </c>
      <c r="E28" s="34"/>
      <c r="F28" s="34">
        <v>4390601.7699999968</v>
      </c>
      <c r="G28" s="43">
        <v>12</v>
      </c>
      <c r="H28" s="17">
        <v>136420.59</v>
      </c>
      <c r="I28" s="34"/>
      <c r="J28" s="34">
        <v>4611417.0500000017</v>
      </c>
      <c r="K28" s="43">
        <v>11</v>
      </c>
      <c r="L28" s="17">
        <v>138613.03000000003</v>
      </c>
      <c r="M28" s="34"/>
      <c r="N28" s="34">
        <v>4898065.8699999992</v>
      </c>
      <c r="O28" s="43">
        <v>14</v>
      </c>
      <c r="P28" s="17">
        <v>209569.41999999998</v>
      </c>
      <c r="Q28" s="34"/>
      <c r="R28" s="89">
        <v>5981135.0299999993</v>
      </c>
      <c r="S28" s="98">
        <v>16</v>
      </c>
      <c r="T28" s="100">
        <v>276635.65999999997</v>
      </c>
      <c r="U28" s="155" t="str">
        <f t="shared" si="0"/>
        <v>OK</v>
      </c>
      <c r="V28" t="s">
        <v>178</v>
      </c>
      <c r="W28">
        <v>5981135.0299999993</v>
      </c>
      <c r="X28">
        <v>16</v>
      </c>
      <c r="Y28">
        <v>276635.65999999997</v>
      </c>
    </row>
    <row r="29" spans="1:25" x14ac:dyDescent="0.35">
      <c r="A29" s="16" t="s">
        <v>10</v>
      </c>
      <c r="B29" s="34">
        <v>14469877.979999997</v>
      </c>
      <c r="C29" s="43">
        <v>40</v>
      </c>
      <c r="D29" s="17">
        <v>1116624.77</v>
      </c>
      <c r="E29" s="34"/>
      <c r="F29" s="34">
        <v>14563348.049999995</v>
      </c>
      <c r="G29" s="43">
        <v>35</v>
      </c>
      <c r="H29" s="17">
        <v>711038.37000000011</v>
      </c>
      <c r="I29" s="34"/>
      <c r="J29" s="34">
        <v>2945445.5400000005</v>
      </c>
      <c r="K29" s="43">
        <v>31</v>
      </c>
      <c r="L29" s="17">
        <v>465849.04</v>
      </c>
      <c r="M29" s="34"/>
      <c r="N29" s="34">
        <v>4688277.82</v>
      </c>
      <c r="O29" s="43">
        <v>38</v>
      </c>
      <c r="P29" s="17">
        <v>527933.74</v>
      </c>
      <c r="Q29" s="34"/>
      <c r="R29" s="89">
        <v>6381611.5399999963</v>
      </c>
      <c r="S29" s="98">
        <v>41</v>
      </c>
      <c r="T29" s="100">
        <v>435220.04</v>
      </c>
      <c r="U29" s="155" t="str">
        <f t="shared" si="0"/>
        <v>OK</v>
      </c>
      <c r="V29" t="s">
        <v>10</v>
      </c>
      <c r="W29">
        <v>6381611.5399999963</v>
      </c>
      <c r="X29">
        <v>41</v>
      </c>
      <c r="Y29">
        <v>435220.04</v>
      </c>
    </row>
    <row r="30" spans="1:25" x14ac:dyDescent="0.35">
      <c r="A30" s="16" t="s">
        <v>11</v>
      </c>
      <c r="B30" s="34">
        <v>4772383.950000002</v>
      </c>
      <c r="C30" s="43">
        <v>10</v>
      </c>
      <c r="D30" s="17">
        <v>99530.25</v>
      </c>
      <c r="E30" s="34"/>
      <c r="F30" s="34">
        <v>5753256.5699999994</v>
      </c>
      <c r="G30" s="43">
        <v>8</v>
      </c>
      <c r="H30" s="17">
        <v>102023.23</v>
      </c>
      <c r="I30" s="34"/>
      <c r="J30" s="34">
        <v>9274329.3399999999</v>
      </c>
      <c r="K30" s="43">
        <v>9</v>
      </c>
      <c r="L30" s="17">
        <v>102108.11</v>
      </c>
      <c r="M30" s="34"/>
      <c r="N30" s="34">
        <v>12968433.039999997</v>
      </c>
      <c r="O30" s="43">
        <v>8</v>
      </c>
      <c r="P30" s="17">
        <v>105813.11</v>
      </c>
      <c r="Q30" s="34"/>
      <c r="R30" s="89">
        <v>14490183.649999985</v>
      </c>
      <c r="S30" s="98">
        <v>10</v>
      </c>
      <c r="T30" s="100">
        <v>210916.45</v>
      </c>
      <c r="U30" s="155" t="str">
        <f t="shared" si="0"/>
        <v>OK</v>
      </c>
      <c r="V30" t="s">
        <v>11</v>
      </c>
      <c r="W30">
        <v>14490183.649999985</v>
      </c>
      <c r="X30">
        <v>10</v>
      </c>
      <c r="Y30">
        <v>210916.45</v>
      </c>
    </row>
    <row r="31" spans="1:25" x14ac:dyDescent="0.35">
      <c r="A31" s="16" t="s">
        <v>12</v>
      </c>
      <c r="B31" s="34">
        <v>2327423.4500000002</v>
      </c>
      <c r="C31" s="43">
        <v>7</v>
      </c>
      <c r="D31" s="17">
        <v>118243.84</v>
      </c>
      <c r="E31" s="34"/>
      <c r="F31" s="34">
        <v>2333736.2700000005</v>
      </c>
      <c r="G31" s="43">
        <v>6</v>
      </c>
      <c r="H31" s="17">
        <v>79732.14</v>
      </c>
      <c r="I31" s="34"/>
      <c r="J31" s="34">
        <v>2513950.46</v>
      </c>
      <c r="K31" s="43">
        <v>7</v>
      </c>
      <c r="L31" s="17">
        <v>69101.36</v>
      </c>
      <c r="M31" s="34"/>
      <c r="N31" s="34">
        <v>2585859.6299999994</v>
      </c>
      <c r="O31" s="43">
        <v>7</v>
      </c>
      <c r="P31" s="17">
        <v>53763.18</v>
      </c>
      <c r="Q31" s="34"/>
      <c r="R31" s="89">
        <v>3963743.2600000012</v>
      </c>
      <c r="S31" s="98">
        <v>7</v>
      </c>
      <c r="T31" s="100">
        <v>287417.66000000003</v>
      </c>
      <c r="U31" s="155" t="str">
        <f t="shared" si="0"/>
        <v>OK</v>
      </c>
      <c r="V31" t="s">
        <v>12</v>
      </c>
      <c r="W31">
        <v>3963743.2600000012</v>
      </c>
      <c r="X31">
        <v>7</v>
      </c>
      <c r="Y31">
        <v>287417.66000000003</v>
      </c>
    </row>
    <row r="32" spans="1:25" x14ac:dyDescent="0.35">
      <c r="A32" s="16" t="s">
        <v>13</v>
      </c>
      <c r="B32" s="34">
        <v>2011657.1900000004</v>
      </c>
      <c r="C32" s="43">
        <v>10</v>
      </c>
      <c r="D32" s="17">
        <v>175596.38999999998</v>
      </c>
      <c r="E32" s="34"/>
      <c r="F32" s="34">
        <v>2540306.7600000007</v>
      </c>
      <c r="G32" s="43">
        <v>10</v>
      </c>
      <c r="H32" s="17">
        <v>251471.76</v>
      </c>
      <c r="I32" s="34"/>
      <c r="J32" s="34">
        <v>3103018.6399999997</v>
      </c>
      <c r="K32" s="43">
        <v>9</v>
      </c>
      <c r="L32" s="17">
        <v>214477.66000000003</v>
      </c>
      <c r="M32" s="34"/>
      <c r="N32" s="34">
        <v>3403513.7699999991</v>
      </c>
      <c r="O32" s="43">
        <v>6</v>
      </c>
      <c r="P32" s="17">
        <v>217862.90000000002</v>
      </c>
      <c r="Q32" s="34"/>
      <c r="R32" s="89">
        <v>3807201.0599999991</v>
      </c>
      <c r="S32" s="98">
        <v>7</v>
      </c>
      <c r="T32" s="100">
        <v>177924.37</v>
      </c>
      <c r="U32" s="155" t="str">
        <f t="shared" si="0"/>
        <v>OK</v>
      </c>
      <c r="V32" t="s">
        <v>13</v>
      </c>
      <c r="W32">
        <v>3807201.0599999991</v>
      </c>
      <c r="X32">
        <v>7</v>
      </c>
      <c r="Y32">
        <v>177924.37</v>
      </c>
    </row>
    <row r="33" spans="1:25" x14ac:dyDescent="0.35">
      <c r="A33" s="16" t="s">
        <v>343</v>
      </c>
      <c r="B33" s="34">
        <v>5320428.9699999951</v>
      </c>
      <c r="C33" s="43">
        <v>23</v>
      </c>
      <c r="D33" s="17">
        <v>16345.110000000002</v>
      </c>
      <c r="E33" s="34"/>
      <c r="F33" s="34">
        <v>5732273.3899999978</v>
      </c>
      <c r="G33" s="43">
        <v>17</v>
      </c>
      <c r="H33" s="17">
        <v>26027.81</v>
      </c>
      <c r="I33" s="34"/>
      <c r="J33" s="34">
        <v>6333032.8799999999</v>
      </c>
      <c r="K33" s="43">
        <v>15</v>
      </c>
      <c r="L33" s="17">
        <v>20887.95</v>
      </c>
      <c r="M33" s="34"/>
      <c r="N33" s="34">
        <v>8000631.2399999993</v>
      </c>
      <c r="O33" s="43">
        <v>18</v>
      </c>
      <c r="P33" s="17">
        <v>280160.7</v>
      </c>
      <c r="Q33" s="34"/>
      <c r="R33" s="89">
        <v>7919352.1100000013</v>
      </c>
      <c r="S33" s="98">
        <v>23</v>
      </c>
      <c r="T33" s="100">
        <v>296697.24</v>
      </c>
      <c r="U33" s="155" t="str">
        <f t="shared" si="0"/>
        <v>OK</v>
      </c>
      <c r="V33" t="s">
        <v>343</v>
      </c>
      <c r="W33">
        <v>7919352.1100000013</v>
      </c>
      <c r="X33">
        <v>23</v>
      </c>
      <c r="Y33">
        <v>296697.24</v>
      </c>
    </row>
    <row r="34" spans="1:25" x14ac:dyDescent="0.35">
      <c r="A34" s="16" t="s">
        <v>14</v>
      </c>
      <c r="B34" s="34">
        <v>2266676.6</v>
      </c>
      <c r="C34" s="43">
        <v>18</v>
      </c>
      <c r="D34" s="17">
        <v>174276.57</v>
      </c>
      <c r="E34" s="34"/>
      <c r="F34" s="34">
        <v>2158436.6999999993</v>
      </c>
      <c r="G34" s="43">
        <v>10</v>
      </c>
      <c r="H34" s="17">
        <v>137643.41999999998</v>
      </c>
      <c r="I34" s="34"/>
      <c r="J34" s="34">
        <v>1988656.51</v>
      </c>
      <c r="K34" s="43">
        <v>15</v>
      </c>
      <c r="L34" s="17">
        <v>159090.37</v>
      </c>
      <c r="M34" s="34"/>
      <c r="N34" s="34">
        <v>2036867.7500000005</v>
      </c>
      <c r="O34" s="43">
        <v>9</v>
      </c>
      <c r="P34" s="17">
        <v>79871.58</v>
      </c>
      <c r="Q34" s="34"/>
      <c r="R34" s="89">
        <v>2641098.1800000006</v>
      </c>
      <c r="S34" s="98">
        <v>7</v>
      </c>
      <c r="T34" s="100">
        <v>77091.91</v>
      </c>
      <c r="U34" s="155" t="str">
        <f t="shared" si="0"/>
        <v>OK</v>
      </c>
      <c r="V34" t="s">
        <v>14</v>
      </c>
      <c r="W34">
        <v>2641098.1800000006</v>
      </c>
      <c r="X34">
        <v>7</v>
      </c>
      <c r="Y34">
        <v>77091.91</v>
      </c>
    </row>
    <row r="35" spans="1:25" x14ac:dyDescent="0.35">
      <c r="A35" s="16" t="s">
        <v>15</v>
      </c>
      <c r="B35" s="34">
        <v>10759232.560000004</v>
      </c>
      <c r="C35" s="43">
        <v>50</v>
      </c>
      <c r="D35" s="17">
        <v>1190993.8900000001</v>
      </c>
      <c r="E35" s="34"/>
      <c r="F35" s="34">
        <v>8754618.9100000001</v>
      </c>
      <c r="G35" s="43">
        <v>38</v>
      </c>
      <c r="H35" s="17">
        <v>853571.78999999992</v>
      </c>
      <c r="I35" s="34"/>
      <c r="J35" s="34">
        <v>9293658.1599999983</v>
      </c>
      <c r="K35" s="43">
        <v>37</v>
      </c>
      <c r="L35" s="17">
        <v>702891.37</v>
      </c>
      <c r="M35" s="34"/>
      <c r="N35" s="34">
        <v>8371024.1299999962</v>
      </c>
      <c r="O35" s="43">
        <v>33</v>
      </c>
      <c r="P35" s="17">
        <v>604770.35</v>
      </c>
      <c r="Q35" s="34"/>
      <c r="R35" s="89">
        <v>9429730.8700000029</v>
      </c>
      <c r="S35" s="98">
        <v>32</v>
      </c>
      <c r="T35" s="100">
        <v>617631.18999999994</v>
      </c>
      <c r="U35" s="155" t="str">
        <f t="shared" si="0"/>
        <v>OK</v>
      </c>
      <c r="V35" t="s">
        <v>15</v>
      </c>
      <c r="W35">
        <v>9429730.8700000029</v>
      </c>
      <c r="X35">
        <v>32</v>
      </c>
      <c r="Y35">
        <v>617631.18999999994</v>
      </c>
    </row>
    <row r="36" spans="1:25" x14ac:dyDescent="0.35">
      <c r="A36" s="16" t="s">
        <v>16</v>
      </c>
      <c r="B36" s="34">
        <v>3697039.6700000027</v>
      </c>
      <c r="C36" s="43">
        <v>9</v>
      </c>
      <c r="D36" s="17">
        <v>265122.8</v>
      </c>
      <c r="E36" s="34"/>
      <c r="F36" s="34">
        <v>3623821.8299999996</v>
      </c>
      <c r="G36" s="43">
        <v>11</v>
      </c>
      <c r="H36" s="17">
        <v>300308.02</v>
      </c>
      <c r="I36" s="34"/>
      <c r="J36" s="34">
        <v>3526149.2800000007</v>
      </c>
      <c r="K36" s="43">
        <v>8</v>
      </c>
      <c r="L36" s="17">
        <v>115043.12</v>
      </c>
      <c r="M36" s="34"/>
      <c r="N36" s="34">
        <v>3440359.8899999987</v>
      </c>
      <c r="O36" s="43">
        <v>7</v>
      </c>
      <c r="P36" s="17">
        <v>129367.83</v>
      </c>
      <c r="Q36" s="34"/>
      <c r="R36" s="89">
        <v>3393232.299999998</v>
      </c>
      <c r="S36" s="98">
        <v>8</v>
      </c>
      <c r="T36" s="100">
        <v>155044.02000000002</v>
      </c>
      <c r="U36" s="155" t="str">
        <f t="shared" si="0"/>
        <v>OK</v>
      </c>
      <c r="V36" t="s">
        <v>16</v>
      </c>
      <c r="W36">
        <v>3393232.299999998</v>
      </c>
      <c r="X36">
        <v>8</v>
      </c>
      <c r="Y36">
        <v>155044.02000000002</v>
      </c>
    </row>
    <row r="37" spans="1:25" x14ac:dyDescent="0.35">
      <c r="A37" s="16" t="s">
        <v>344</v>
      </c>
      <c r="B37" s="34"/>
      <c r="C37" s="43">
        <v>0</v>
      </c>
      <c r="D37" s="17"/>
      <c r="E37" s="34"/>
      <c r="F37" s="34"/>
      <c r="G37" s="43">
        <v>0</v>
      </c>
      <c r="H37" s="17"/>
      <c r="I37" s="34"/>
      <c r="J37" s="34"/>
      <c r="K37" s="43">
        <v>0</v>
      </c>
      <c r="L37" s="17"/>
      <c r="M37" s="34"/>
      <c r="N37" s="34"/>
      <c r="O37" s="43">
        <v>0</v>
      </c>
      <c r="P37" s="17"/>
      <c r="Q37" s="34"/>
      <c r="R37" s="89"/>
      <c r="S37" s="98">
        <v>0</v>
      </c>
      <c r="T37" s="100"/>
      <c r="U37" s="155" t="str">
        <f t="shared" si="0"/>
        <v>OK</v>
      </c>
      <c r="V37" t="s">
        <v>344</v>
      </c>
      <c r="X37">
        <v>0</v>
      </c>
    </row>
    <row r="38" spans="1:25" x14ac:dyDescent="0.35">
      <c r="A38" s="16" t="s">
        <v>17</v>
      </c>
      <c r="B38" s="34">
        <v>1410332.5100000002</v>
      </c>
      <c r="C38" s="43">
        <v>11</v>
      </c>
      <c r="D38" s="17">
        <v>101684.67000000001</v>
      </c>
      <c r="E38" s="34"/>
      <c r="F38" s="34">
        <v>579248.88999999943</v>
      </c>
      <c r="G38" s="43">
        <v>11</v>
      </c>
      <c r="H38" s="17">
        <v>120493.39</v>
      </c>
      <c r="I38" s="34"/>
      <c r="J38" s="34">
        <v>923542.78000000026</v>
      </c>
      <c r="K38" s="43">
        <v>10</v>
      </c>
      <c r="L38" s="17">
        <v>149227.70000000001</v>
      </c>
      <c r="M38" s="34"/>
      <c r="N38" s="34">
        <v>1741251.9900000007</v>
      </c>
      <c r="O38" s="43">
        <v>10</v>
      </c>
      <c r="P38" s="17">
        <v>142499.22</v>
      </c>
      <c r="Q38" s="34"/>
      <c r="R38" s="89">
        <v>2679190.5900000008</v>
      </c>
      <c r="S38" s="98">
        <v>10</v>
      </c>
      <c r="T38" s="100">
        <v>133357.68</v>
      </c>
      <c r="U38" s="155" t="str">
        <f t="shared" si="0"/>
        <v>OK</v>
      </c>
      <c r="V38" t="s">
        <v>17</v>
      </c>
      <c r="W38">
        <v>2679190.5900000008</v>
      </c>
      <c r="X38">
        <v>10</v>
      </c>
      <c r="Y38">
        <v>133357.68</v>
      </c>
    </row>
    <row r="39" spans="1:25" x14ac:dyDescent="0.35">
      <c r="A39" s="16" t="s">
        <v>358</v>
      </c>
      <c r="B39" s="34">
        <v>3001971.7</v>
      </c>
      <c r="C39" s="43">
        <v>27</v>
      </c>
      <c r="D39" s="17">
        <v>226155.39</v>
      </c>
      <c r="E39" s="34"/>
      <c r="F39" s="34">
        <v>1871416.0100000002</v>
      </c>
      <c r="G39" s="43">
        <v>12</v>
      </c>
      <c r="H39" s="17">
        <v>3750.7900000000045</v>
      </c>
      <c r="I39" s="34"/>
      <c r="J39" s="34">
        <v>2147762.0700000003</v>
      </c>
      <c r="K39" s="43">
        <v>25</v>
      </c>
      <c r="L39" s="17">
        <v>242051.9</v>
      </c>
      <c r="M39" s="34"/>
      <c r="N39" s="34">
        <v>2415037.58</v>
      </c>
      <c r="O39" s="43">
        <v>26</v>
      </c>
      <c r="P39" s="17">
        <v>257062.93999999997</v>
      </c>
      <c r="Q39" s="34"/>
      <c r="R39" s="89">
        <v>2079231.8399999999</v>
      </c>
      <c r="S39" s="98">
        <v>14</v>
      </c>
      <c r="T39" s="100">
        <v>230578.05</v>
      </c>
      <c r="U39" s="155" t="str">
        <f t="shared" si="0"/>
        <v>OK</v>
      </c>
      <c r="V39" t="s">
        <v>358</v>
      </c>
      <c r="W39">
        <v>2079231.8399999999</v>
      </c>
      <c r="X39">
        <v>14</v>
      </c>
      <c r="Y39">
        <v>230578.05</v>
      </c>
    </row>
    <row r="40" spans="1:25" x14ac:dyDescent="0.35">
      <c r="A40" s="16" t="s">
        <v>25</v>
      </c>
      <c r="B40" s="34">
        <v>203244.76000000004</v>
      </c>
      <c r="C40" s="43">
        <v>11</v>
      </c>
      <c r="D40" s="17">
        <v>17835.739999999998</v>
      </c>
      <c r="E40" s="34"/>
      <c r="F40" s="34">
        <v>203525.76000000004</v>
      </c>
      <c r="G40" s="43">
        <v>6</v>
      </c>
      <c r="H40" s="17">
        <v>8145.6100000000006</v>
      </c>
      <c r="I40" s="34"/>
      <c r="J40" s="34">
        <v>242306.01</v>
      </c>
      <c r="K40" s="43">
        <v>11</v>
      </c>
      <c r="L40" s="17">
        <v>27721.269999999997</v>
      </c>
      <c r="M40" s="34"/>
      <c r="N40" s="34">
        <v>482171.8600000001</v>
      </c>
      <c r="O40" s="43">
        <v>10</v>
      </c>
      <c r="P40" s="17">
        <v>41096.94</v>
      </c>
      <c r="Q40" s="34"/>
      <c r="R40" s="89">
        <v>524571.79</v>
      </c>
      <c r="S40" s="98">
        <v>13</v>
      </c>
      <c r="T40" s="100">
        <v>55579.17</v>
      </c>
      <c r="U40" s="155" t="str">
        <f t="shared" si="0"/>
        <v>OK</v>
      </c>
      <c r="V40" t="s">
        <v>25</v>
      </c>
      <c r="W40">
        <v>524571.79</v>
      </c>
      <c r="X40">
        <v>13</v>
      </c>
      <c r="Y40">
        <v>55579.17</v>
      </c>
    </row>
    <row r="41" spans="1:25" x14ac:dyDescent="0.35">
      <c r="A41" s="16" t="s">
        <v>18</v>
      </c>
      <c r="B41" s="34">
        <v>4129834.5199999991</v>
      </c>
      <c r="C41" s="43">
        <v>8</v>
      </c>
      <c r="D41" s="17">
        <v>45211.69</v>
      </c>
      <c r="E41" s="34"/>
      <c r="F41" s="34">
        <v>4553831.4900000012</v>
      </c>
      <c r="G41" s="43">
        <v>12</v>
      </c>
      <c r="H41" s="17">
        <v>217572.31</v>
      </c>
      <c r="I41" s="34"/>
      <c r="J41" s="34">
        <v>5769749.8799999999</v>
      </c>
      <c r="K41" s="43">
        <v>21</v>
      </c>
      <c r="L41" s="17">
        <v>43651.37</v>
      </c>
      <c r="M41" s="34"/>
      <c r="N41" s="34">
        <v>6251769.1900000023</v>
      </c>
      <c r="O41" s="43">
        <v>18</v>
      </c>
      <c r="P41" s="17">
        <v>61387.53</v>
      </c>
      <c r="Q41" s="34"/>
      <c r="R41" s="89">
        <v>7379405.6100000013</v>
      </c>
      <c r="S41" s="98">
        <v>22</v>
      </c>
      <c r="T41" s="100">
        <v>233503.01</v>
      </c>
      <c r="U41" s="155" t="str">
        <f t="shared" si="0"/>
        <v>OK</v>
      </c>
      <c r="V41" t="s">
        <v>18</v>
      </c>
      <c r="W41">
        <v>7379405.6100000013</v>
      </c>
      <c r="X41">
        <v>22</v>
      </c>
      <c r="Y41">
        <v>233503.01</v>
      </c>
    </row>
    <row r="42" spans="1:25" x14ac:dyDescent="0.35">
      <c r="A42" s="16" t="s">
        <v>353</v>
      </c>
      <c r="B42" s="34">
        <v>7248933.3799999934</v>
      </c>
      <c r="C42" s="43">
        <v>31</v>
      </c>
      <c r="D42" s="17">
        <v>119354.77</v>
      </c>
      <c r="E42" s="34"/>
      <c r="F42" s="34">
        <v>6470497.370000002</v>
      </c>
      <c r="G42" s="43">
        <v>28</v>
      </c>
      <c r="H42" s="17">
        <v>157226.53</v>
      </c>
      <c r="I42" s="34"/>
      <c r="J42" s="34">
        <v>6827279.6699999925</v>
      </c>
      <c r="K42" s="43">
        <v>35</v>
      </c>
      <c r="L42" s="17">
        <v>271164.13</v>
      </c>
      <c r="M42" s="34"/>
      <c r="N42" s="34">
        <v>6900877.9100000001</v>
      </c>
      <c r="O42" s="43">
        <v>36</v>
      </c>
      <c r="P42" s="17">
        <v>170609.99</v>
      </c>
      <c r="Q42" s="34"/>
      <c r="R42" s="89">
        <v>6762577.2899999944</v>
      </c>
      <c r="S42" s="98">
        <v>43</v>
      </c>
      <c r="T42" s="100">
        <v>420428.55000000005</v>
      </c>
      <c r="U42" s="155" t="str">
        <f t="shared" si="0"/>
        <v>OK</v>
      </c>
      <c r="V42" t="s">
        <v>353</v>
      </c>
      <c r="W42">
        <v>6762577.2899999944</v>
      </c>
      <c r="X42">
        <v>43</v>
      </c>
      <c r="Y42">
        <v>420428.55000000005</v>
      </c>
    </row>
    <row r="43" spans="1:25" x14ac:dyDescent="0.35">
      <c r="A43" s="16" t="s">
        <v>354</v>
      </c>
      <c r="B43" s="34">
        <v>5814718.7599999998</v>
      </c>
      <c r="C43" s="43">
        <v>39</v>
      </c>
      <c r="D43" s="17">
        <v>126993.59</v>
      </c>
      <c r="E43" s="34"/>
      <c r="F43" s="34">
        <v>6106256.0000000019</v>
      </c>
      <c r="G43" s="43">
        <v>38</v>
      </c>
      <c r="H43" s="17">
        <v>78030.39</v>
      </c>
      <c r="I43" s="34"/>
      <c r="J43" s="34">
        <v>6226791.7999999952</v>
      </c>
      <c r="K43" s="43">
        <v>17</v>
      </c>
      <c r="L43" s="17">
        <v>47779.729999999996</v>
      </c>
      <c r="M43" s="34"/>
      <c r="N43" s="34">
        <v>6861338.0099999988</v>
      </c>
      <c r="O43" s="43">
        <v>14</v>
      </c>
      <c r="P43" s="17">
        <v>192142.31</v>
      </c>
      <c r="Q43" s="34"/>
      <c r="R43" s="89">
        <v>7870359.3500000015</v>
      </c>
      <c r="S43" s="98">
        <v>16</v>
      </c>
      <c r="T43" s="100">
        <v>232015.24999999997</v>
      </c>
      <c r="U43" s="155" t="str">
        <f t="shared" si="0"/>
        <v>OK</v>
      </c>
      <c r="V43" t="s">
        <v>354</v>
      </c>
      <c r="W43">
        <v>7870359.3500000015</v>
      </c>
      <c r="X43">
        <v>16</v>
      </c>
      <c r="Y43">
        <v>232015.24999999997</v>
      </c>
    </row>
    <row r="44" spans="1:25" x14ac:dyDescent="0.35">
      <c r="A44" s="16" t="s">
        <v>409</v>
      </c>
      <c r="B44" s="34">
        <v>33867261.279999986</v>
      </c>
      <c r="C44" s="43">
        <v>397</v>
      </c>
      <c r="D44" s="17">
        <v>14536279.550000001</v>
      </c>
      <c r="E44" s="34"/>
      <c r="F44" s="34">
        <v>33562797.410000011</v>
      </c>
      <c r="G44" s="43">
        <v>409</v>
      </c>
      <c r="H44" s="17">
        <v>15005526.140000001</v>
      </c>
      <c r="I44" s="34"/>
      <c r="J44" s="34">
        <v>34676704.360000007</v>
      </c>
      <c r="K44" s="43">
        <v>425</v>
      </c>
      <c r="L44" s="17">
        <v>15363184.65</v>
      </c>
      <c r="M44" s="34"/>
      <c r="N44" s="34">
        <v>42160736.330000006</v>
      </c>
      <c r="O44" s="43">
        <v>446</v>
      </c>
      <c r="P44" s="17">
        <v>16112702.309999987</v>
      </c>
      <c r="Q44" s="34"/>
      <c r="R44" s="89">
        <v>39639322.24000001</v>
      </c>
      <c r="S44" s="98">
        <v>450</v>
      </c>
      <c r="T44" s="100">
        <v>14872939.679999996</v>
      </c>
      <c r="U44" s="155" t="str">
        <f t="shared" si="0"/>
        <v>OK</v>
      </c>
      <c r="V44" t="s">
        <v>409</v>
      </c>
      <c r="W44">
        <v>39639322.24000001</v>
      </c>
      <c r="X44">
        <v>450</v>
      </c>
      <c r="Y44">
        <v>14872939.679999996</v>
      </c>
    </row>
    <row r="45" spans="1:25" x14ac:dyDescent="0.35">
      <c r="A45" s="16" t="s">
        <v>28</v>
      </c>
      <c r="B45" s="34">
        <v>0</v>
      </c>
      <c r="C45" s="43">
        <v>0</v>
      </c>
      <c r="D45" s="17">
        <v>0</v>
      </c>
      <c r="E45" s="34"/>
      <c r="F45" s="34">
        <v>0</v>
      </c>
      <c r="G45" s="43">
        <v>0</v>
      </c>
      <c r="H45" s="17">
        <v>0</v>
      </c>
      <c r="I45" s="34"/>
      <c r="J45" s="34">
        <v>0</v>
      </c>
      <c r="K45" s="43">
        <v>0</v>
      </c>
      <c r="L45" s="17">
        <v>0</v>
      </c>
      <c r="M45" s="34"/>
      <c r="N45" s="34">
        <v>0</v>
      </c>
      <c r="O45" s="43">
        <v>0</v>
      </c>
      <c r="P45" s="17">
        <v>0</v>
      </c>
      <c r="Q45" s="34"/>
      <c r="R45" s="89">
        <v>0</v>
      </c>
      <c r="S45" s="98">
        <v>0</v>
      </c>
      <c r="T45" s="100">
        <v>0</v>
      </c>
      <c r="U45" s="155" t="str">
        <f t="shared" si="0"/>
        <v>OK</v>
      </c>
      <c r="V45" t="s">
        <v>28</v>
      </c>
      <c r="W45">
        <v>0</v>
      </c>
      <c r="X45">
        <v>0</v>
      </c>
      <c r="Y45">
        <v>0</v>
      </c>
    </row>
    <row r="46" spans="1:25" x14ac:dyDescent="0.35">
      <c r="A46" s="16" t="s">
        <v>29</v>
      </c>
      <c r="B46" s="34">
        <v>24206.550000000003</v>
      </c>
      <c r="C46" s="43">
        <v>1</v>
      </c>
      <c r="D46" s="17">
        <v>6.78</v>
      </c>
      <c r="E46" s="34"/>
      <c r="F46" s="34">
        <v>31388.68</v>
      </c>
      <c r="G46" s="43">
        <v>0</v>
      </c>
      <c r="H46" s="17">
        <v>0</v>
      </c>
      <c r="I46" s="34"/>
      <c r="J46" s="34">
        <v>36580.420000000006</v>
      </c>
      <c r="K46" s="43">
        <v>3</v>
      </c>
      <c r="L46" s="17">
        <v>8509.94</v>
      </c>
      <c r="M46" s="34"/>
      <c r="N46" s="34">
        <v>28601.239999999998</v>
      </c>
      <c r="O46" s="43">
        <v>1</v>
      </c>
      <c r="P46" s="17">
        <v>200.43</v>
      </c>
      <c r="Q46" s="34"/>
      <c r="R46" s="89">
        <v>28879.279999999999</v>
      </c>
      <c r="S46" s="98">
        <v>1</v>
      </c>
      <c r="T46" s="100">
        <v>206.31</v>
      </c>
      <c r="U46" s="155" t="str">
        <f t="shared" si="0"/>
        <v>OK</v>
      </c>
      <c r="V46" t="s">
        <v>29</v>
      </c>
      <c r="W46">
        <v>28879.279999999999</v>
      </c>
      <c r="X46">
        <v>1</v>
      </c>
      <c r="Y46">
        <v>206.31</v>
      </c>
    </row>
    <row r="47" spans="1:25" x14ac:dyDescent="0.35">
      <c r="A47" s="16" t="s">
        <v>359</v>
      </c>
      <c r="B47" s="34">
        <v>4771130.2600000007</v>
      </c>
      <c r="C47" s="43">
        <v>12</v>
      </c>
      <c r="D47" s="17">
        <v>166726.25</v>
      </c>
      <c r="E47" s="34"/>
      <c r="F47" s="34">
        <v>5211954.07</v>
      </c>
      <c r="G47" s="43">
        <v>4</v>
      </c>
      <c r="H47" s="17">
        <v>49176.17</v>
      </c>
      <c r="I47" s="34"/>
      <c r="J47" s="34">
        <v>5475366.2599999998</v>
      </c>
      <c r="K47" s="43">
        <v>13</v>
      </c>
      <c r="L47" s="17">
        <v>402660.74</v>
      </c>
      <c r="M47" s="34"/>
      <c r="N47" s="34">
        <v>6118063.6799999997</v>
      </c>
      <c r="O47" s="43">
        <v>8</v>
      </c>
      <c r="P47" s="17">
        <v>454708.07999999996</v>
      </c>
      <c r="Q47" s="34"/>
      <c r="R47" s="89">
        <v>7244913.299999998</v>
      </c>
      <c r="S47" s="98">
        <v>6</v>
      </c>
      <c r="T47" s="100">
        <v>447511.86</v>
      </c>
      <c r="U47" s="155" t="str">
        <f t="shared" si="0"/>
        <v>OK</v>
      </c>
      <c r="V47" t="s">
        <v>359</v>
      </c>
      <c r="W47">
        <v>7244913.299999998</v>
      </c>
      <c r="X47">
        <v>6</v>
      </c>
      <c r="Y47">
        <v>447511.86</v>
      </c>
    </row>
    <row r="48" spans="1:25" x14ac:dyDescent="0.35">
      <c r="A48" s="16" t="s">
        <v>30</v>
      </c>
      <c r="B48" s="34">
        <v>2125690.81</v>
      </c>
      <c r="C48" s="43">
        <v>18</v>
      </c>
      <c r="D48" s="17">
        <v>139331.28999999998</v>
      </c>
      <c r="E48" s="34"/>
      <c r="F48" s="34">
        <v>3978685.56</v>
      </c>
      <c r="G48" s="43">
        <v>4</v>
      </c>
      <c r="H48" s="17">
        <v>104966.84</v>
      </c>
      <c r="I48" s="34"/>
      <c r="J48" s="34">
        <v>18830702.749999996</v>
      </c>
      <c r="K48" s="43">
        <v>20</v>
      </c>
      <c r="L48" s="17">
        <v>45337.759999999951</v>
      </c>
      <c r="M48" s="34"/>
      <c r="N48" s="34">
        <v>12277748.35</v>
      </c>
      <c r="O48" s="43">
        <v>18</v>
      </c>
      <c r="P48" s="17">
        <v>287030.37</v>
      </c>
      <c r="Q48" s="34"/>
      <c r="R48" s="89">
        <v>9680099.7799999993</v>
      </c>
      <c r="S48" s="98">
        <v>22</v>
      </c>
      <c r="T48" s="100">
        <v>1399242.3199999998</v>
      </c>
      <c r="U48" s="155" t="str">
        <f t="shared" si="0"/>
        <v>OK</v>
      </c>
      <c r="V48" t="s">
        <v>30</v>
      </c>
      <c r="W48">
        <v>9680099.7799999993</v>
      </c>
      <c r="X48">
        <v>22</v>
      </c>
      <c r="Y48">
        <v>1399242.3199999998</v>
      </c>
    </row>
    <row r="49" spans="1:25" x14ac:dyDescent="0.35">
      <c r="A49" s="16" t="s">
        <v>31</v>
      </c>
      <c r="B49" s="34">
        <v>0</v>
      </c>
      <c r="C49" s="43">
        <v>0</v>
      </c>
      <c r="D49" s="17">
        <v>0</v>
      </c>
      <c r="E49" s="34"/>
      <c r="F49" s="34">
        <v>0</v>
      </c>
      <c r="G49" s="43">
        <v>0</v>
      </c>
      <c r="H49" s="17">
        <v>0</v>
      </c>
      <c r="I49" s="34"/>
      <c r="J49" s="34">
        <v>0</v>
      </c>
      <c r="K49" s="43">
        <v>0</v>
      </c>
      <c r="L49" s="17">
        <v>0</v>
      </c>
      <c r="M49" s="34"/>
      <c r="N49" s="34">
        <v>0</v>
      </c>
      <c r="O49" s="43">
        <v>0</v>
      </c>
      <c r="P49" s="17">
        <v>0</v>
      </c>
      <c r="Q49" s="34"/>
      <c r="R49" s="89">
        <v>141254.96000000002</v>
      </c>
      <c r="S49" s="98">
        <v>1</v>
      </c>
      <c r="T49" s="100">
        <v>3622.2</v>
      </c>
      <c r="U49" s="155" t="str">
        <f t="shared" si="0"/>
        <v>OK</v>
      </c>
      <c r="V49" t="s">
        <v>31</v>
      </c>
      <c r="W49">
        <v>141254.96000000002</v>
      </c>
      <c r="X49">
        <v>1</v>
      </c>
      <c r="Y49">
        <v>3622.2</v>
      </c>
    </row>
    <row r="50" spans="1:25" x14ac:dyDescent="0.35">
      <c r="A50" s="16" t="s">
        <v>32</v>
      </c>
      <c r="B50" s="34">
        <v>0</v>
      </c>
      <c r="C50" s="43">
        <v>0</v>
      </c>
      <c r="D50" s="17">
        <v>0</v>
      </c>
      <c r="E50" s="34"/>
      <c r="F50" s="34">
        <v>0</v>
      </c>
      <c r="G50" s="43">
        <v>0</v>
      </c>
      <c r="H50" s="17">
        <v>0</v>
      </c>
      <c r="I50" s="34"/>
      <c r="J50" s="34">
        <v>0</v>
      </c>
      <c r="K50" s="43">
        <v>0</v>
      </c>
      <c r="L50" s="17">
        <v>0</v>
      </c>
      <c r="M50" s="34"/>
      <c r="N50" s="34">
        <v>0</v>
      </c>
      <c r="O50" s="43">
        <v>0</v>
      </c>
      <c r="P50" s="17">
        <v>0</v>
      </c>
      <c r="Q50" s="34"/>
      <c r="R50" s="89">
        <v>0</v>
      </c>
      <c r="S50" s="98">
        <v>0</v>
      </c>
      <c r="T50" s="100">
        <v>0</v>
      </c>
      <c r="U50" s="155" t="str">
        <f t="shared" si="0"/>
        <v>OK</v>
      </c>
      <c r="V50" t="s">
        <v>32</v>
      </c>
      <c r="W50">
        <v>0</v>
      </c>
      <c r="X50">
        <v>0</v>
      </c>
      <c r="Y50">
        <v>0</v>
      </c>
    </row>
    <row r="51" spans="1:25" x14ac:dyDescent="0.35">
      <c r="A51" s="16" t="s">
        <v>33</v>
      </c>
      <c r="B51" s="34">
        <v>4684533.6099999994</v>
      </c>
      <c r="C51" s="43">
        <v>62</v>
      </c>
      <c r="D51" s="17">
        <v>193325.72999999998</v>
      </c>
      <c r="E51" s="34"/>
      <c r="F51" s="34">
        <v>5550791.1799999997</v>
      </c>
      <c r="G51" s="43">
        <v>24</v>
      </c>
      <c r="H51" s="17">
        <v>214767.88999999996</v>
      </c>
      <c r="I51" s="34"/>
      <c r="J51" s="34">
        <v>6708442.8999999976</v>
      </c>
      <c r="K51" s="43">
        <v>59</v>
      </c>
      <c r="L51" s="17">
        <v>498364.79</v>
      </c>
      <c r="M51" s="34"/>
      <c r="N51" s="34">
        <v>8041817.7400000021</v>
      </c>
      <c r="O51" s="43">
        <v>47</v>
      </c>
      <c r="P51" s="17">
        <v>466575.12</v>
      </c>
      <c r="Q51" s="34"/>
      <c r="R51" s="89">
        <v>10154590.27</v>
      </c>
      <c r="S51" s="98">
        <v>49</v>
      </c>
      <c r="T51" s="100">
        <v>552902.71000000008</v>
      </c>
      <c r="U51" s="155" t="str">
        <f t="shared" si="0"/>
        <v>OK</v>
      </c>
      <c r="V51" t="s">
        <v>33</v>
      </c>
      <c r="W51">
        <v>10154590.27</v>
      </c>
      <c r="X51">
        <v>49</v>
      </c>
      <c r="Y51">
        <v>552902.71000000008</v>
      </c>
    </row>
    <row r="52" spans="1:25" x14ac:dyDescent="0.35">
      <c r="A52" s="16"/>
      <c r="B52" s="16"/>
      <c r="C52" s="16"/>
      <c r="D52" s="16"/>
      <c r="E52" s="16"/>
      <c r="F52" s="16"/>
      <c r="G52" s="16"/>
      <c r="H52" s="16"/>
      <c r="I52" s="16"/>
      <c r="J52" s="16"/>
      <c r="K52" s="16"/>
      <c r="L52" s="16"/>
      <c r="M52" s="16"/>
      <c r="N52" s="16"/>
      <c r="O52" s="16"/>
      <c r="P52" s="16"/>
      <c r="Q52" s="16"/>
      <c r="R52" s="90"/>
      <c r="S52" s="90"/>
      <c r="T52" s="90"/>
    </row>
    <row r="53" spans="1:25" ht="15" thickBot="1" x14ac:dyDescent="0.4">
      <c r="A53" s="25" t="s">
        <v>113</v>
      </c>
      <c r="B53" s="35">
        <v>606836102.05999994</v>
      </c>
      <c r="C53" s="28">
        <v>2094</v>
      </c>
      <c r="D53" s="35">
        <v>49914719.49000001</v>
      </c>
      <c r="E53" s="301"/>
      <c r="F53" s="35">
        <v>631307518.1699996</v>
      </c>
      <c r="G53" s="28">
        <v>2057</v>
      </c>
      <c r="H53" s="35">
        <v>54241749.920000009</v>
      </c>
      <c r="I53" s="301"/>
      <c r="J53" s="35">
        <v>697184338.20999908</v>
      </c>
      <c r="K53" s="28">
        <v>2240</v>
      </c>
      <c r="L53" s="35">
        <v>63035940.899999991</v>
      </c>
      <c r="M53" s="301"/>
      <c r="N53" s="35">
        <v>761510156.57999969</v>
      </c>
      <c r="O53" s="28">
        <v>2330</v>
      </c>
      <c r="P53" s="35">
        <v>72069616.13000001</v>
      </c>
      <c r="Q53" s="301"/>
      <c r="R53" s="310">
        <f>SUM(R6:R51)</f>
        <v>831766278.34999835</v>
      </c>
      <c r="S53" s="309">
        <f>SUM(S6:S51)</f>
        <v>2513</v>
      </c>
      <c r="T53" s="310">
        <f>SUM(T6:T51)</f>
        <v>73826841.279999942</v>
      </c>
      <c r="V53" t="s">
        <v>390</v>
      </c>
      <c r="W53">
        <v>831766278.34999835</v>
      </c>
      <c r="X53">
        <v>2513</v>
      </c>
      <c r="Y53">
        <v>73826841.279999942</v>
      </c>
    </row>
    <row r="54" spans="1:25" ht="15" thickTop="1" x14ac:dyDescent="0.35"/>
  </sheetData>
  <sortState ref="A6:T51">
    <sortCondition ref="A6"/>
  </sortState>
  <mergeCells count="5">
    <mergeCell ref="C3:D3"/>
    <mergeCell ref="G3:H3"/>
    <mergeCell ref="K3:L3"/>
    <mergeCell ref="S3:T3"/>
    <mergeCell ref="O3:P3"/>
  </mergeCells>
  <pageMargins left="0.7" right="0.7" top="0.75" bottom="0.75" header="0.3" footer="0.3"/>
  <pageSetup orientation="portrait" r:id="rId1"/>
  <customProperties>
    <customPr name="EpmWorksheetKeyString_GU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AR59"/>
  <sheetViews>
    <sheetView workbookViewId="0">
      <pane xSplit="1" ySplit="5" topLeftCell="AK42" activePane="bottomRight" state="frozen"/>
      <selection activeCell="D5" sqref="D5:E5"/>
      <selection pane="topRight" activeCell="D5" sqref="D5:E5"/>
      <selection pane="bottomLeft" activeCell="D5" sqref="D5:E5"/>
      <selection pane="bottomRight" activeCell="D5" sqref="D5:E5"/>
    </sheetView>
  </sheetViews>
  <sheetFormatPr defaultRowHeight="14.5" x14ac:dyDescent="0.35"/>
  <cols>
    <col min="1" max="1" width="49.26953125" bestFit="1" customWidth="1"/>
    <col min="2" max="2" width="12.54296875" bestFit="1" customWidth="1"/>
    <col min="3" max="3" width="11.54296875" bestFit="1" customWidth="1"/>
    <col min="4" max="4" width="7.7265625" bestFit="1" customWidth="1"/>
    <col min="5" max="5" width="11.54296875" bestFit="1" customWidth="1"/>
    <col min="6" max="6" width="7.7265625" bestFit="1" customWidth="1"/>
    <col min="7" max="7" width="7.453125" bestFit="1" customWidth="1"/>
    <col min="8" max="8" width="10.54296875" bestFit="1" customWidth="1"/>
    <col min="9" max="9" width="1.7265625" customWidth="1"/>
    <col min="10" max="10" width="12.54296875" bestFit="1" customWidth="1"/>
    <col min="11" max="11" width="11.54296875" bestFit="1" customWidth="1"/>
    <col min="12" max="12" width="7.7265625" bestFit="1" customWidth="1"/>
    <col min="13" max="13" width="11.54296875" bestFit="1" customWidth="1"/>
    <col min="14" max="14" width="7.7265625" bestFit="1" customWidth="1"/>
    <col min="15" max="15" width="7.453125" bestFit="1" customWidth="1"/>
    <col min="16" max="16" width="10.54296875" bestFit="1" customWidth="1"/>
    <col min="17" max="17" width="1.7265625" customWidth="1"/>
    <col min="18" max="18" width="12.54296875" bestFit="1" customWidth="1"/>
    <col min="19" max="19" width="11.54296875" bestFit="1" customWidth="1"/>
    <col min="20" max="20" width="7.7265625" bestFit="1" customWidth="1"/>
    <col min="21" max="21" width="11.54296875" bestFit="1" customWidth="1"/>
    <col min="22" max="22" width="7.7265625" bestFit="1" customWidth="1"/>
    <col min="23" max="23" width="7.453125" bestFit="1" customWidth="1"/>
    <col min="24" max="24" width="10.54296875" bestFit="1" customWidth="1"/>
    <col min="25" max="25" width="1.7265625" customWidth="1"/>
    <col min="26" max="26" width="12.54296875" bestFit="1" customWidth="1"/>
    <col min="27" max="27" width="11.54296875" bestFit="1" customWidth="1"/>
    <col min="28" max="28" width="7.7265625" bestFit="1" customWidth="1"/>
    <col min="29" max="29" width="11.54296875" bestFit="1" customWidth="1"/>
    <col min="30" max="30" width="7.7265625" bestFit="1" customWidth="1"/>
    <col min="31" max="31" width="7.453125" bestFit="1" customWidth="1"/>
    <col min="32" max="32" width="10.54296875" bestFit="1" customWidth="1"/>
    <col min="33" max="33" width="1.7265625" customWidth="1"/>
    <col min="34" max="34" width="12.54296875" bestFit="1" customWidth="1"/>
    <col min="35" max="35" width="11.54296875" bestFit="1" customWidth="1"/>
    <col min="36" max="36" width="7.7265625" bestFit="1" customWidth="1"/>
    <col min="37" max="37" width="11.54296875" bestFit="1" customWidth="1"/>
    <col min="38" max="38" width="7.7265625" bestFit="1" customWidth="1"/>
    <col min="39" max="39" width="7.453125" bestFit="1" customWidth="1"/>
    <col min="40" max="40" width="10.54296875" bestFit="1" customWidth="1"/>
    <col min="42" max="42" width="31.54296875" customWidth="1"/>
    <col min="44" max="44" width="12" style="271" bestFit="1" customWidth="1"/>
  </cols>
  <sheetData>
    <row r="1" spans="1:44" x14ac:dyDescent="0.35">
      <c r="A1" s="29">
        <v>1</v>
      </c>
      <c r="B1" s="29">
        <v>2</v>
      </c>
      <c r="C1" s="29">
        <v>3</v>
      </c>
      <c r="D1" s="29">
        <v>4</v>
      </c>
      <c r="E1" s="29">
        <v>5</v>
      </c>
      <c r="F1" s="29">
        <v>6</v>
      </c>
      <c r="G1" s="29">
        <v>7</v>
      </c>
      <c r="H1" s="29">
        <v>8</v>
      </c>
      <c r="I1" s="29">
        <v>9</v>
      </c>
      <c r="J1" s="29">
        <v>10</v>
      </c>
      <c r="K1" s="29">
        <v>11</v>
      </c>
      <c r="L1" s="29">
        <v>12</v>
      </c>
      <c r="M1" s="29">
        <v>13</v>
      </c>
      <c r="N1" s="29">
        <v>14</v>
      </c>
      <c r="O1" s="29">
        <v>15</v>
      </c>
      <c r="P1" s="29">
        <v>16</v>
      </c>
      <c r="Q1" s="29">
        <v>17</v>
      </c>
      <c r="R1" s="29">
        <v>18</v>
      </c>
      <c r="S1" s="29">
        <v>19</v>
      </c>
      <c r="T1" s="29">
        <v>20</v>
      </c>
      <c r="U1" s="29">
        <v>21</v>
      </c>
      <c r="V1" s="29">
        <v>22</v>
      </c>
      <c r="W1" s="29">
        <v>23</v>
      </c>
      <c r="X1" s="29">
        <v>24</v>
      </c>
      <c r="Y1" s="29">
        <v>25</v>
      </c>
      <c r="Z1" s="29">
        <v>26</v>
      </c>
      <c r="AA1" s="29">
        <v>27</v>
      </c>
      <c r="AB1" s="29">
        <v>28</v>
      </c>
      <c r="AC1" s="29">
        <v>29</v>
      </c>
      <c r="AD1" s="29">
        <v>30</v>
      </c>
      <c r="AE1" s="29">
        <v>31</v>
      </c>
      <c r="AF1" s="29">
        <v>32</v>
      </c>
      <c r="AG1" s="29">
        <v>33</v>
      </c>
      <c r="AH1" s="29">
        <v>34</v>
      </c>
      <c r="AI1" s="29">
        <v>35</v>
      </c>
      <c r="AJ1" s="29">
        <v>36</v>
      </c>
      <c r="AK1" s="29">
        <v>37</v>
      </c>
      <c r="AL1" s="29">
        <v>38</v>
      </c>
      <c r="AM1" s="29">
        <v>39</v>
      </c>
      <c r="AN1" s="29">
        <v>40</v>
      </c>
    </row>
    <row r="2" spans="1:44" x14ac:dyDescent="0.35">
      <c r="B2" s="47"/>
      <c r="C2" s="47"/>
      <c r="D2" s="47"/>
      <c r="E2" s="47"/>
      <c r="F2" s="47"/>
      <c r="G2" s="49"/>
      <c r="H2" s="47"/>
      <c r="I2" s="37"/>
      <c r="J2" s="47"/>
      <c r="K2" s="47"/>
      <c r="L2" s="47"/>
      <c r="M2" s="47"/>
      <c r="N2" s="47"/>
      <c r="O2" s="49"/>
      <c r="P2" s="47"/>
      <c r="Q2" s="37"/>
      <c r="R2" s="47"/>
      <c r="S2" s="47"/>
      <c r="T2" s="47"/>
      <c r="U2" s="47"/>
      <c r="V2" s="47"/>
      <c r="W2" s="49"/>
      <c r="X2" s="47"/>
      <c r="Y2" s="37"/>
      <c r="Z2" s="47"/>
      <c r="AA2" s="47"/>
      <c r="AB2" s="47"/>
      <c r="AC2" s="47"/>
      <c r="AD2" s="47"/>
      <c r="AE2" s="49"/>
      <c r="AF2" s="47"/>
      <c r="AG2" s="37"/>
      <c r="AH2" s="47"/>
      <c r="AI2" s="47"/>
      <c r="AJ2" s="47"/>
      <c r="AK2" s="47"/>
      <c r="AL2" s="47"/>
      <c r="AM2" s="49"/>
      <c r="AN2" s="47"/>
    </row>
    <row r="3" spans="1:44" ht="33.75" customHeight="1" x14ac:dyDescent="0.35">
      <c r="B3" s="48" t="s">
        <v>40</v>
      </c>
      <c r="C3" s="430" t="s">
        <v>141</v>
      </c>
      <c r="D3" s="430"/>
      <c r="E3" s="430" t="s">
        <v>42</v>
      </c>
      <c r="F3" s="430"/>
      <c r="G3" s="429" t="s">
        <v>143</v>
      </c>
      <c r="H3" s="429"/>
      <c r="I3" s="71"/>
      <c r="J3" s="48" t="s">
        <v>40</v>
      </c>
      <c r="K3" s="430" t="s">
        <v>141</v>
      </c>
      <c r="L3" s="430"/>
      <c r="M3" s="430" t="s">
        <v>42</v>
      </c>
      <c r="N3" s="430"/>
      <c r="O3" s="429" t="s">
        <v>143</v>
      </c>
      <c r="P3" s="429"/>
      <c r="Q3" s="71"/>
      <c r="R3" s="48" t="s">
        <v>40</v>
      </c>
      <c r="S3" s="430" t="s">
        <v>141</v>
      </c>
      <c r="T3" s="430"/>
      <c r="U3" s="430" t="s">
        <v>42</v>
      </c>
      <c r="V3" s="430"/>
      <c r="W3" s="429" t="s">
        <v>143</v>
      </c>
      <c r="X3" s="429"/>
      <c r="Y3" s="71"/>
      <c r="Z3" s="48" t="s">
        <v>40</v>
      </c>
      <c r="AA3" s="430" t="s">
        <v>141</v>
      </c>
      <c r="AB3" s="430"/>
      <c r="AC3" s="430" t="s">
        <v>42</v>
      </c>
      <c r="AD3" s="430"/>
      <c r="AE3" s="429" t="s">
        <v>143</v>
      </c>
      <c r="AF3" s="429"/>
      <c r="AG3" s="71"/>
      <c r="AH3" s="48" t="s">
        <v>40</v>
      </c>
      <c r="AI3" s="430" t="s">
        <v>141</v>
      </c>
      <c r="AJ3" s="430"/>
      <c r="AK3" s="430" t="s">
        <v>42</v>
      </c>
      <c r="AL3" s="430"/>
      <c r="AM3" s="429" t="s">
        <v>143</v>
      </c>
      <c r="AN3" s="429"/>
    </row>
    <row r="4" spans="1:44" ht="18" customHeight="1" x14ac:dyDescent="0.35">
      <c r="B4" s="15">
        <v>2017</v>
      </c>
      <c r="C4" s="15">
        <v>2017</v>
      </c>
      <c r="D4" s="15">
        <v>2017</v>
      </c>
      <c r="E4" s="15">
        <v>2017</v>
      </c>
      <c r="F4" s="15">
        <v>2017</v>
      </c>
      <c r="G4" s="15">
        <v>2017</v>
      </c>
      <c r="H4" s="15">
        <v>2017</v>
      </c>
      <c r="I4" s="15"/>
      <c r="J4" s="15">
        <v>2018</v>
      </c>
      <c r="K4" s="15">
        <v>2018</v>
      </c>
      <c r="L4" s="15">
        <v>2018</v>
      </c>
      <c r="M4" s="15">
        <v>2018</v>
      </c>
      <c r="N4" s="15">
        <v>2018</v>
      </c>
      <c r="O4" s="15">
        <v>2018</v>
      </c>
      <c r="P4" s="15">
        <v>2018</v>
      </c>
      <c r="Q4" s="15"/>
      <c r="R4" s="15">
        <v>2019</v>
      </c>
      <c r="S4" s="15">
        <v>2019</v>
      </c>
      <c r="T4" s="15">
        <v>2019</v>
      </c>
      <c r="U4" s="15">
        <v>2019</v>
      </c>
      <c r="V4" s="15">
        <v>2019</v>
      </c>
      <c r="W4" s="15">
        <v>2019</v>
      </c>
      <c r="X4" s="15">
        <v>2019</v>
      </c>
      <c r="Y4" s="15"/>
      <c r="Z4" s="15">
        <v>2020</v>
      </c>
      <c r="AA4" s="15">
        <v>2020</v>
      </c>
      <c r="AB4" s="15">
        <v>2020</v>
      </c>
      <c r="AC4" s="15">
        <v>2020</v>
      </c>
      <c r="AD4" s="15">
        <v>2020</v>
      </c>
      <c r="AE4" s="15">
        <v>2020</v>
      </c>
      <c r="AF4" s="15">
        <v>2020</v>
      </c>
      <c r="AG4" s="15"/>
      <c r="AH4" s="15">
        <v>2021</v>
      </c>
      <c r="AI4" s="15">
        <v>2021</v>
      </c>
      <c r="AJ4" s="15">
        <v>2021</v>
      </c>
      <c r="AK4" s="15">
        <v>2021</v>
      </c>
      <c r="AL4" s="15">
        <v>2021</v>
      </c>
      <c r="AM4" s="15">
        <v>2021</v>
      </c>
      <c r="AN4" s="15">
        <v>2021</v>
      </c>
    </row>
    <row r="5" spans="1:44" ht="30" customHeight="1" x14ac:dyDescent="0.35">
      <c r="A5" s="39" t="s">
        <v>36</v>
      </c>
      <c r="B5" s="40" t="s">
        <v>41</v>
      </c>
      <c r="C5" s="40" t="s">
        <v>41</v>
      </c>
      <c r="D5" s="40" t="s">
        <v>142</v>
      </c>
      <c r="E5" s="40" t="s">
        <v>41</v>
      </c>
      <c r="F5" s="40" t="s">
        <v>142</v>
      </c>
      <c r="G5" s="40" t="s">
        <v>39</v>
      </c>
      <c r="H5" s="40" t="s">
        <v>41</v>
      </c>
      <c r="I5" s="40"/>
      <c r="J5" s="40" t="s">
        <v>41</v>
      </c>
      <c r="K5" s="40" t="s">
        <v>41</v>
      </c>
      <c r="L5" s="40" t="s">
        <v>142</v>
      </c>
      <c r="M5" s="40" t="s">
        <v>41</v>
      </c>
      <c r="N5" s="40" t="s">
        <v>142</v>
      </c>
      <c r="O5" s="40" t="s">
        <v>39</v>
      </c>
      <c r="P5" s="40" t="s">
        <v>41</v>
      </c>
      <c r="Q5" s="40"/>
      <c r="R5" s="40" t="s">
        <v>41</v>
      </c>
      <c r="S5" s="40" t="s">
        <v>41</v>
      </c>
      <c r="T5" s="40" t="s">
        <v>142</v>
      </c>
      <c r="U5" s="40" t="s">
        <v>41</v>
      </c>
      <c r="V5" s="40" t="s">
        <v>142</v>
      </c>
      <c r="W5" s="40" t="s">
        <v>39</v>
      </c>
      <c r="X5" s="40" t="s">
        <v>41</v>
      </c>
      <c r="Y5" s="40"/>
      <c r="Z5" s="40" t="s">
        <v>41</v>
      </c>
      <c r="AA5" s="40" t="s">
        <v>41</v>
      </c>
      <c r="AB5" s="40" t="s">
        <v>142</v>
      </c>
      <c r="AC5" s="40" t="s">
        <v>41</v>
      </c>
      <c r="AD5" s="40" t="s">
        <v>142</v>
      </c>
      <c r="AE5" s="40" t="s">
        <v>392</v>
      </c>
      <c r="AF5" s="40" t="s">
        <v>41</v>
      </c>
      <c r="AG5" s="40"/>
      <c r="AH5" s="40" t="s">
        <v>41</v>
      </c>
      <c r="AI5" s="40" t="s">
        <v>41</v>
      </c>
      <c r="AJ5" s="40" t="s">
        <v>142</v>
      </c>
      <c r="AK5" s="40" t="s">
        <v>41</v>
      </c>
      <c r="AL5" s="40" t="s">
        <v>142</v>
      </c>
      <c r="AM5" s="338" t="s">
        <v>392</v>
      </c>
      <c r="AN5" s="40" t="s">
        <v>41</v>
      </c>
      <c r="AQ5" s="40" t="s">
        <v>39</v>
      </c>
      <c r="AR5" s="339" t="s">
        <v>41</v>
      </c>
    </row>
    <row r="6" spans="1:44" x14ac:dyDescent="0.35">
      <c r="A6" s="16" t="s">
        <v>345</v>
      </c>
      <c r="B6" s="17">
        <v>3910143</v>
      </c>
      <c r="C6" s="17">
        <v>90540</v>
      </c>
      <c r="D6" s="26">
        <v>2.3155163378935247E-2</v>
      </c>
      <c r="E6" s="17">
        <v>166272</v>
      </c>
      <c r="F6" s="26">
        <v>4.2523252985888237E-2</v>
      </c>
      <c r="G6" s="43"/>
      <c r="H6" s="17">
        <v>0</v>
      </c>
      <c r="I6" s="17"/>
      <c r="J6" s="17">
        <v>5427952</v>
      </c>
      <c r="K6" s="17">
        <v>99546</v>
      </c>
      <c r="L6" s="26">
        <v>1.8339513687667099E-2</v>
      </c>
      <c r="M6" s="17">
        <v>307597</v>
      </c>
      <c r="N6" s="26">
        <v>5.6669071502474598E-2</v>
      </c>
      <c r="O6" s="43"/>
      <c r="P6" s="17"/>
      <c r="Q6" s="17"/>
      <c r="R6" s="17">
        <v>5808806.6300000018</v>
      </c>
      <c r="S6" s="17">
        <v>140006</v>
      </c>
      <c r="T6" s="26">
        <v>2.4102368854375163E-2</v>
      </c>
      <c r="U6" s="17">
        <v>250159</v>
      </c>
      <c r="V6" s="26">
        <v>4.3065472124349219E-2</v>
      </c>
      <c r="W6" s="43"/>
      <c r="X6" s="17">
        <v>0</v>
      </c>
      <c r="Y6" s="17"/>
      <c r="Z6" s="17">
        <v>5740361.8300000001</v>
      </c>
      <c r="AA6" s="17">
        <v>110525</v>
      </c>
      <c r="AB6" s="26">
        <v>1.9254012773616398E-2</v>
      </c>
      <c r="AC6" s="17">
        <v>153631</v>
      </c>
      <c r="AD6" s="26">
        <v>2.6763295511635022E-2</v>
      </c>
      <c r="AE6" s="43"/>
      <c r="AF6" s="17"/>
      <c r="AG6" s="17"/>
      <c r="AH6" s="100">
        <v>6547915.9000000004</v>
      </c>
      <c r="AI6" s="100">
        <v>217552</v>
      </c>
      <c r="AJ6" s="101">
        <f>AI6/AH6</f>
        <v>3.3224617316786248E-2</v>
      </c>
      <c r="AK6" s="100">
        <v>298041.99</v>
      </c>
      <c r="AL6" s="101">
        <f>AK6/AH6</f>
        <v>4.5517076662514859E-2</v>
      </c>
      <c r="AM6" s="98"/>
      <c r="AN6" s="100"/>
      <c r="AO6" s="155" t="str">
        <f t="shared" ref="AO6:AO52" si="0">IF(AP6=A6,"OK","No")</f>
        <v>OK</v>
      </c>
      <c r="AP6" t="s">
        <v>345</v>
      </c>
    </row>
    <row r="7" spans="1:44" x14ac:dyDescent="0.35">
      <c r="A7" s="16" t="s">
        <v>21</v>
      </c>
      <c r="B7" s="17">
        <v>24799202</v>
      </c>
      <c r="C7" s="17">
        <v>3363081</v>
      </c>
      <c r="D7" s="26">
        <v>0.13561246849797828</v>
      </c>
      <c r="E7" s="17">
        <v>216926</v>
      </c>
      <c r="F7" s="26">
        <v>8.7472975944951781E-3</v>
      </c>
      <c r="G7" s="43">
        <v>5</v>
      </c>
      <c r="H7" s="17">
        <v>45956</v>
      </c>
      <c r="I7" s="17"/>
      <c r="J7" s="17">
        <v>26549348</v>
      </c>
      <c r="K7" s="17">
        <v>1809314</v>
      </c>
      <c r="L7" s="26">
        <v>6.8149093529528484E-2</v>
      </c>
      <c r="M7" s="17">
        <v>211453</v>
      </c>
      <c r="N7" s="26">
        <v>7.9645270384794391E-3</v>
      </c>
      <c r="O7" s="43">
        <v>2</v>
      </c>
      <c r="P7" s="17">
        <v>18458</v>
      </c>
      <c r="Q7" s="17"/>
      <c r="R7" s="17">
        <v>27095392.410000373</v>
      </c>
      <c r="S7" s="17">
        <v>2029100</v>
      </c>
      <c r="T7" s="26">
        <v>7.4887271211879533E-2</v>
      </c>
      <c r="U7" s="17">
        <v>656587</v>
      </c>
      <c r="V7" s="26">
        <v>2.4232422622440662E-2</v>
      </c>
      <c r="W7" s="43">
        <v>2</v>
      </c>
      <c r="X7" s="17">
        <v>5446</v>
      </c>
      <c r="Y7" s="17"/>
      <c r="Z7" s="17">
        <v>27781942.57000035</v>
      </c>
      <c r="AA7" s="17">
        <v>2051481.3699999964</v>
      </c>
      <c r="AB7" s="26">
        <v>7.3842257964179883E-2</v>
      </c>
      <c r="AC7" s="17">
        <v>340114.43999999959</v>
      </c>
      <c r="AD7" s="26">
        <v>1.2242284323460658E-2</v>
      </c>
      <c r="AE7" s="43">
        <v>4</v>
      </c>
      <c r="AF7" s="17">
        <v>36852.79</v>
      </c>
      <c r="AG7" s="17"/>
      <c r="AH7" s="100">
        <v>27381052.000000384</v>
      </c>
      <c r="AI7" s="100">
        <v>4402172.6499999966</v>
      </c>
      <c r="AJ7" s="101">
        <f>AI7/AH7</f>
        <v>0.16077441619116514</v>
      </c>
      <c r="AK7" s="100">
        <v>510037.87999999995</v>
      </c>
      <c r="AL7" s="101">
        <f>AK7/AH7</f>
        <v>1.8627402628649651E-2</v>
      </c>
      <c r="AM7" s="98">
        <v>7</v>
      </c>
      <c r="AN7" s="100">
        <v>45681.83</v>
      </c>
      <c r="AO7" s="155" t="str">
        <f t="shared" si="0"/>
        <v>OK</v>
      </c>
      <c r="AP7" t="s">
        <v>21</v>
      </c>
      <c r="AQ7">
        <v>7</v>
      </c>
      <c r="AR7" s="271">
        <v>45681.83</v>
      </c>
    </row>
    <row r="8" spans="1:44" x14ac:dyDescent="0.35">
      <c r="A8" s="16" t="s">
        <v>357</v>
      </c>
      <c r="B8" s="17"/>
      <c r="C8" s="17"/>
      <c r="D8" s="26"/>
      <c r="E8" s="17"/>
      <c r="F8" s="26"/>
      <c r="G8" s="43"/>
      <c r="H8" s="17"/>
      <c r="I8" s="17"/>
      <c r="J8" s="17"/>
      <c r="K8" s="17"/>
      <c r="L8" s="26"/>
      <c r="M8" s="17"/>
      <c r="N8" s="26"/>
      <c r="O8" s="43"/>
      <c r="P8" s="17"/>
      <c r="Q8" s="17"/>
      <c r="R8" s="17"/>
      <c r="S8" s="17"/>
      <c r="T8" s="26"/>
      <c r="U8" s="17"/>
      <c r="V8" s="26"/>
      <c r="W8" s="43"/>
      <c r="X8" s="17"/>
      <c r="Y8" s="17"/>
      <c r="Z8" s="17"/>
      <c r="AA8" s="17"/>
      <c r="AB8" s="26"/>
      <c r="AC8" s="17"/>
      <c r="AD8" s="26"/>
      <c r="AE8" s="43"/>
      <c r="AF8" s="17"/>
      <c r="AG8" s="17"/>
      <c r="AH8" s="100"/>
      <c r="AI8" s="100"/>
      <c r="AJ8" s="101"/>
      <c r="AK8" s="100"/>
      <c r="AL8" s="101"/>
      <c r="AM8" s="98"/>
      <c r="AN8" s="100"/>
      <c r="AO8" s="155" t="str">
        <f t="shared" si="0"/>
        <v>OK</v>
      </c>
      <c r="AP8" t="s">
        <v>357</v>
      </c>
    </row>
    <row r="9" spans="1:44" x14ac:dyDescent="0.35">
      <c r="A9" s="16" t="s">
        <v>0</v>
      </c>
      <c r="B9" s="17">
        <v>26169547</v>
      </c>
      <c r="C9" s="17">
        <v>3401279</v>
      </c>
      <c r="D9" s="26">
        <v>0.12997087798271786</v>
      </c>
      <c r="E9" s="17">
        <v>4361292</v>
      </c>
      <c r="F9" s="26">
        <v>0.16665523480402622</v>
      </c>
      <c r="G9" s="43">
        <v>79</v>
      </c>
      <c r="H9" s="17">
        <v>306655</v>
      </c>
      <c r="I9" s="17"/>
      <c r="J9" s="17">
        <v>28968171</v>
      </c>
      <c r="K9" s="17">
        <v>3604926</v>
      </c>
      <c r="L9" s="26">
        <v>0.12444437724425197</v>
      </c>
      <c r="M9" s="17">
        <v>5836361</v>
      </c>
      <c r="N9" s="26">
        <v>0.20147495677238303</v>
      </c>
      <c r="O9" s="43">
        <v>51</v>
      </c>
      <c r="P9" s="17">
        <v>340084</v>
      </c>
      <c r="Q9" s="17"/>
      <c r="R9" s="17">
        <v>28100797.18000124</v>
      </c>
      <c r="S9" s="17">
        <v>4072405</v>
      </c>
      <c r="T9" s="26">
        <v>0.14492133350929443</v>
      </c>
      <c r="U9" s="17">
        <v>5941856</v>
      </c>
      <c r="V9" s="26">
        <v>0.21144795152746401</v>
      </c>
      <c r="W9" s="43">
        <v>63</v>
      </c>
      <c r="X9" s="17">
        <v>435804</v>
      </c>
      <c r="Y9" s="17"/>
      <c r="Z9" s="17">
        <v>29042671.250001416</v>
      </c>
      <c r="AA9" s="17">
        <v>4249605.5599999847</v>
      </c>
      <c r="AB9" s="26">
        <v>0.14632282008149569</v>
      </c>
      <c r="AC9" s="17">
        <v>6000034.8399999877</v>
      </c>
      <c r="AD9" s="26">
        <v>0.20659376640499952</v>
      </c>
      <c r="AE9" s="43">
        <v>37</v>
      </c>
      <c r="AF9" s="17">
        <v>352632.01</v>
      </c>
      <c r="AG9" s="17"/>
      <c r="AH9" s="100">
        <v>28236813.310001306</v>
      </c>
      <c r="AI9" s="100">
        <v>5151532.0400000103</v>
      </c>
      <c r="AJ9" s="101">
        <f>AI9/AH9</f>
        <v>0.18244027693363576</v>
      </c>
      <c r="AK9" s="100">
        <v>5677903.2400000021</v>
      </c>
      <c r="AL9" s="101">
        <f>AK9/AH9</f>
        <v>0.20108158727631364</v>
      </c>
      <c r="AM9" s="98">
        <v>27</v>
      </c>
      <c r="AN9" s="100">
        <v>311713.07</v>
      </c>
      <c r="AO9" s="155" t="str">
        <f t="shared" si="0"/>
        <v>OK</v>
      </c>
      <c r="AP9" t="s">
        <v>0</v>
      </c>
      <c r="AQ9">
        <v>27</v>
      </c>
      <c r="AR9" s="271">
        <v>311713.07</v>
      </c>
    </row>
    <row r="10" spans="1:44" x14ac:dyDescent="0.35">
      <c r="A10" s="16" t="s">
        <v>1</v>
      </c>
      <c r="B10" s="17">
        <v>46112742</v>
      </c>
      <c r="C10" s="17">
        <v>4655443</v>
      </c>
      <c r="D10" s="26">
        <v>0.10095784371269875</v>
      </c>
      <c r="E10" s="17">
        <v>15137318</v>
      </c>
      <c r="F10" s="26">
        <v>0.32826757515308891</v>
      </c>
      <c r="G10" s="43">
        <v>217</v>
      </c>
      <c r="H10" s="17">
        <v>1023043</v>
      </c>
      <c r="I10" s="17"/>
      <c r="J10" s="17">
        <v>45324785</v>
      </c>
      <c r="K10" s="17">
        <v>4354103</v>
      </c>
      <c r="L10" s="26">
        <v>9.6064504222138067E-2</v>
      </c>
      <c r="M10" s="17">
        <v>16782471</v>
      </c>
      <c r="N10" s="26">
        <v>0.37027138683614275</v>
      </c>
      <c r="O10" s="43">
        <v>221</v>
      </c>
      <c r="P10" s="17">
        <v>967748</v>
      </c>
      <c r="Q10" s="17"/>
      <c r="R10" s="17">
        <v>48545717.429999642</v>
      </c>
      <c r="S10" s="17">
        <v>5270421</v>
      </c>
      <c r="T10" s="26">
        <v>0.10856613680907422</v>
      </c>
      <c r="U10" s="17">
        <v>16042334</v>
      </c>
      <c r="V10" s="26">
        <v>0.33045827416459955</v>
      </c>
      <c r="W10" s="43">
        <v>225</v>
      </c>
      <c r="X10" s="17">
        <v>1052176</v>
      </c>
      <c r="Y10" s="17"/>
      <c r="Z10" s="17">
        <v>49971484.179999717</v>
      </c>
      <c r="AA10" s="17">
        <v>3899935.5499999896</v>
      </c>
      <c r="AB10" s="26">
        <v>7.8043220328462365E-2</v>
      </c>
      <c r="AC10" s="17">
        <v>15544885.649999961</v>
      </c>
      <c r="AD10" s="26">
        <v>0.31107512424498995</v>
      </c>
      <c r="AE10" s="43">
        <v>147</v>
      </c>
      <c r="AF10" s="17">
        <v>1109002.4200000009</v>
      </c>
      <c r="AG10" s="17"/>
      <c r="AH10" s="100">
        <v>48989892.419999734</v>
      </c>
      <c r="AI10" s="100">
        <v>4933661.7200000007</v>
      </c>
      <c r="AJ10" s="101">
        <f>AI10/AH10</f>
        <v>0.10070774758398679</v>
      </c>
      <c r="AK10" s="100">
        <v>16292434.240000015</v>
      </c>
      <c r="AL10" s="101">
        <f>AK10/AH10</f>
        <v>0.33256725898317668</v>
      </c>
      <c r="AM10" s="98">
        <v>158</v>
      </c>
      <c r="AN10" s="100">
        <v>630992.1100000001</v>
      </c>
      <c r="AO10" s="155" t="str">
        <f t="shared" si="0"/>
        <v>OK</v>
      </c>
      <c r="AP10" t="s">
        <v>1</v>
      </c>
      <c r="AQ10">
        <v>158</v>
      </c>
      <c r="AR10" s="271">
        <v>630992.1100000001</v>
      </c>
    </row>
    <row r="11" spans="1:44" x14ac:dyDescent="0.35">
      <c r="A11" s="16" t="s">
        <v>2</v>
      </c>
      <c r="B11" s="17">
        <v>3329004</v>
      </c>
      <c r="C11" s="17">
        <v>345975</v>
      </c>
      <c r="D11" s="26">
        <v>0.10392748101233883</v>
      </c>
      <c r="E11" s="17">
        <v>1108517</v>
      </c>
      <c r="F11" s="26">
        <v>0.33298758427445568</v>
      </c>
      <c r="G11" s="43">
        <v>13</v>
      </c>
      <c r="H11" s="17">
        <v>160986</v>
      </c>
      <c r="I11" s="17"/>
      <c r="J11" s="17">
        <v>3919475</v>
      </c>
      <c r="K11" s="17">
        <v>552865</v>
      </c>
      <c r="L11" s="26">
        <v>0.14105588120858023</v>
      </c>
      <c r="M11" s="17">
        <v>1074456</v>
      </c>
      <c r="N11" s="26">
        <v>0.27413263255920756</v>
      </c>
      <c r="O11" s="43">
        <v>19</v>
      </c>
      <c r="P11" s="17">
        <v>102034</v>
      </c>
      <c r="Q11" s="17"/>
      <c r="R11" s="17">
        <v>5175603.0100000128</v>
      </c>
      <c r="S11" s="17">
        <v>286728</v>
      </c>
      <c r="T11" s="26">
        <v>5.5399921409350773E-2</v>
      </c>
      <c r="U11" s="17">
        <v>1562671</v>
      </c>
      <c r="V11" s="26">
        <v>0.3019302286092449</v>
      </c>
      <c r="W11" s="43">
        <v>19</v>
      </c>
      <c r="X11" s="17">
        <v>97747</v>
      </c>
      <c r="Y11" s="17"/>
      <c r="Z11" s="17">
        <v>4532876.4000000013</v>
      </c>
      <c r="AA11" s="17">
        <v>446926.04000000004</v>
      </c>
      <c r="AB11" s="26">
        <v>9.8596564424302396E-2</v>
      </c>
      <c r="AC11" s="17">
        <v>1394600.63</v>
      </c>
      <c r="AD11" s="26">
        <v>0.30766350258303965</v>
      </c>
      <c r="AE11" s="43">
        <v>14</v>
      </c>
      <c r="AF11" s="17">
        <v>18342.39</v>
      </c>
      <c r="AG11" s="17"/>
      <c r="AH11" s="100">
        <v>4916655.9700000035</v>
      </c>
      <c r="AI11" s="100">
        <v>790662.17999999947</v>
      </c>
      <c r="AJ11" s="101">
        <f>AI11/AH11</f>
        <v>0.16081299664332604</v>
      </c>
      <c r="AK11" s="100">
        <v>1606650.8599999999</v>
      </c>
      <c r="AL11" s="101">
        <f>AK11/AH11</f>
        <v>0.32677715703586208</v>
      </c>
      <c r="AM11" s="98">
        <v>25</v>
      </c>
      <c r="AN11" s="100">
        <v>105200</v>
      </c>
      <c r="AO11" s="155" t="str">
        <f t="shared" si="0"/>
        <v>OK</v>
      </c>
      <c r="AP11" t="s">
        <v>2</v>
      </c>
      <c r="AQ11">
        <v>25</v>
      </c>
      <c r="AR11" s="271">
        <v>105200</v>
      </c>
    </row>
    <row r="12" spans="1:44" x14ac:dyDescent="0.35">
      <c r="A12" s="16" t="s">
        <v>26</v>
      </c>
      <c r="B12" s="17"/>
      <c r="C12" s="17"/>
      <c r="D12" s="26"/>
      <c r="E12" s="17"/>
      <c r="F12" s="26"/>
      <c r="G12" s="43"/>
      <c r="H12" s="17"/>
      <c r="I12" s="17"/>
      <c r="J12" s="17"/>
      <c r="K12" s="17"/>
      <c r="L12" s="26"/>
      <c r="M12" s="17"/>
      <c r="N12" s="26"/>
      <c r="O12" s="43"/>
      <c r="P12" s="17"/>
      <c r="Q12" s="17"/>
      <c r="R12" s="17"/>
      <c r="S12" s="17"/>
      <c r="T12" s="26"/>
      <c r="U12" s="17"/>
      <c r="V12" s="26"/>
      <c r="W12" s="43"/>
      <c r="X12" s="17"/>
      <c r="Y12" s="17"/>
      <c r="Z12" s="17"/>
      <c r="AA12" s="17"/>
      <c r="AB12" s="26"/>
      <c r="AC12" s="17"/>
      <c r="AD12" s="26"/>
      <c r="AE12" s="43"/>
      <c r="AF12" s="17"/>
      <c r="AG12" s="17"/>
      <c r="AH12" s="100"/>
      <c r="AI12" s="100"/>
      <c r="AJ12" s="101"/>
      <c r="AK12" s="100"/>
      <c r="AL12" s="101"/>
      <c r="AM12" s="98"/>
      <c r="AN12" s="100"/>
      <c r="AO12" s="155" t="str">
        <f t="shared" si="0"/>
        <v>OK</v>
      </c>
      <c r="AP12" t="s">
        <v>26</v>
      </c>
    </row>
    <row r="13" spans="1:44" x14ac:dyDescent="0.35">
      <c r="A13" s="16" t="s">
        <v>306</v>
      </c>
      <c r="B13" s="17">
        <v>156884</v>
      </c>
      <c r="C13" s="17">
        <v>161552</v>
      </c>
      <c r="D13" s="26">
        <v>1.0297544682695494</v>
      </c>
      <c r="E13" s="17">
        <v>2750</v>
      </c>
      <c r="F13" s="26">
        <v>1.7528874837459525E-2</v>
      </c>
      <c r="G13" s="43">
        <v>37</v>
      </c>
      <c r="H13" s="17">
        <v>90764</v>
      </c>
      <c r="I13" s="17"/>
      <c r="J13" s="17">
        <v>213059</v>
      </c>
      <c r="K13" s="17">
        <v>147924</v>
      </c>
      <c r="L13" s="26">
        <v>0.69428655912212112</v>
      </c>
      <c r="M13" s="17">
        <v>1500</v>
      </c>
      <c r="N13" s="26">
        <v>7.0403033901407595E-3</v>
      </c>
      <c r="O13" s="43">
        <v>57</v>
      </c>
      <c r="P13" s="17">
        <v>142559</v>
      </c>
      <c r="Q13" s="17"/>
      <c r="R13" s="17">
        <v>213961.26</v>
      </c>
      <c r="S13" s="17">
        <v>42678</v>
      </c>
      <c r="T13" s="26">
        <v>0.19946601548336365</v>
      </c>
      <c r="U13" s="17">
        <v>4500</v>
      </c>
      <c r="V13" s="26">
        <v>2.1031844736752812E-2</v>
      </c>
      <c r="W13" s="43">
        <v>61</v>
      </c>
      <c r="X13" s="17">
        <v>152640</v>
      </c>
      <c r="Y13" s="17"/>
      <c r="Z13" s="17">
        <v>103417.99</v>
      </c>
      <c r="AA13" s="17">
        <v>75822.880000000005</v>
      </c>
      <c r="AB13" s="26">
        <v>0.73316915171141883</v>
      </c>
      <c r="AC13" s="17">
        <v>4350</v>
      </c>
      <c r="AD13" s="26">
        <v>4.206231430334316E-2</v>
      </c>
      <c r="AE13" s="43">
        <v>52</v>
      </c>
      <c r="AF13" s="17">
        <v>78667.990000000005</v>
      </c>
      <c r="AG13" s="17"/>
      <c r="AH13" s="100">
        <v>55600</v>
      </c>
      <c r="AI13" s="100">
        <v>9800</v>
      </c>
      <c r="AJ13" s="101">
        <f>AI13/AH13</f>
        <v>0.17625899280575538</v>
      </c>
      <c r="AK13" s="100">
        <v>2400</v>
      </c>
      <c r="AL13" s="101">
        <f>AK13/AH13</f>
        <v>4.3165467625899283E-2</v>
      </c>
      <c r="AM13" s="98">
        <v>16</v>
      </c>
      <c r="AN13" s="100">
        <v>24300</v>
      </c>
      <c r="AO13" s="155" t="str">
        <f t="shared" si="0"/>
        <v>OK</v>
      </c>
      <c r="AP13" t="s">
        <v>306</v>
      </c>
      <c r="AQ13">
        <v>16</v>
      </c>
      <c r="AR13" s="271">
        <v>24300</v>
      </c>
    </row>
    <row r="14" spans="1:44" x14ac:dyDescent="0.35">
      <c r="A14" s="16" t="s">
        <v>3</v>
      </c>
      <c r="B14" s="17">
        <v>2015847</v>
      </c>
      <c r="C14" s="17">
        <v>254604</v>
      </c>
      <c r="D14" s="26">
        <v>0.1263012520295439</v>
      </c>
      <c r="E14" s="17">
        <v>488808</v>
      </c>
      <c r="F14" s="26">
        <v>0.24248268841831747</v>
      </c>
      <c r="G14" s="43">
        <v>42</v>
      </c>
      <c r="H14" s="17">
        <v>1261678</v>
      </c>
      <c r="I14" s="17"/>
      <c r="J14" s="17">
        <v>2116944</v>
      </c>
      <c r="K14" s="17">
        <v>369501</v>
      </c>
      <c r="L14" s="26">
        <v>0.1745445321179965</v>
      </c>
      <c r="M14" s="17">
        <v>516844</v>
      </c>
      <c r="N14" s="26">
        <v>0.24414627878677944</v>
      </c>
      <c r="O14" s="43">
        <v>67</v>
      </c>
      <c r="P14" s="17">
        <v>1389143</v>
      </c>
      <c r="Q14" s="17"/>
      <c r="R14" s="17">
        <v>2048074.9800000004</v>
      </c>
      <c r="S14" s="17">
        <v>390896</v>
      </c>
      <c r="T14" s="26">
        <v>0.19086019985459707</v>
      </c>
      <c r="U14" s="17">
        <v>545746</v>
      </c>
      <c r="V14" s="26">
        <v>0.26646778332304993</v>
      </c>
      <c r="W14" s="43">
        <v>35</v>
      </c>
      <c r="X14" s="17">
        <v>1261634</v>
      </c>
      <c r="Y14" s="17"/>
      <c r="Z14" s="17">
        <v>2216718.84</v>
      </c>
      <c r="AA14" s="17">
        <v>830223.19000000006</v>
      </c>
      <c r="AB14" s="26">
        <v>0.37452796223809787</v>
      </c>
      <c r="AC14" s="17">
        <v>713673.86999999988</v>
      </c>
      <c r="AD14" s="26">
        <v>0.32195055914262899</v>
      </c>
      <c r="AE14" s="43">
        <v>31</v>
      </c>
      <c r="AF14" s="17">
        <v>1158635.4400000002</v>
      </c>
      <c r="AG14" s="17"/>
      <c r="AH14" s="100">
        <v>1811389.0399999998</v>
      </c>
      <c r="AI14" s="100">
        <v>211204.61</v>
      </c>
      <c r="AJ14" s="101">
        <f>AI14/AH14</f>
        <v>0.11659814945109749</v>
      </c>
      <c r="AK14" s="100">
        <v>411927.71000000008</v>
      </c>
      <c r="AL14" s="101">
        <f>AK14/AH14</f>
        <v>0.22740985006732742</v>
      </c>
      <c r="AM14" s="98">
        <v>22</v>
      </c>
      <c r="AN14" s="100">
        <v>914250</v>
      </c>
      <c r="AO14" s="155" t="str">
        <f t="shared" si="0"/>
        <v>OK</v>
      </c>
      <c r="AP14" t="s">
        <v>3</v>
      </c>
      <c r="AQ14">
        <v>22</v>
      </c>
      <c r="AR14" s="271">
        <v>914250</v>
      </c>
    </row>
    <row r="15" spans="1:44" x14ac:dyDescent="0.35">
      <c r="A15" s="16" t="s">
        <v>22</v>
      </c>
      <c r="B15" s="17"/>
      <c r="C15" s="17"/>
      <c r="D15" s="26"/>
      <c r="E15" s="17"/>
      <c r="F15" s="26"/>
      <c r="G15" s="43"/>
      <c r="H15" s="17"/>
      <c r="I15" s="17"/>
      <c r="J15" s="17"/>
      <c r="K15" s="17"/>
      <c r="L15" s="26"/>
      <c r="M15" s="17"/>
      <c r="N15" s="26"/>
      <c r="O15" s="43"/>
      <c r="P15" s="17"/>
      <c r="Q15" s="17"/>
      <c r="R15" s="17"/>
      <c r="S15" s="17"/>
      <c r="T15" s="26"/>
      <c r="U15" s="17"/>
      <c r="V15" s="26"/>
      <c r="W15" s="43"/>
      <c r="X15" s="17"/>
      <c r="Y15" s="17"/>
      <c r="Z15" s="17"/>
      <c r="AA15" s="17"/>
      <c r="AB15" s="26"/>
      <c r="AC15" s="17"/>
      <c r="AD15" s="26"/>
      <c r="AE15" s="43"/>
      <c r="AF15" s="17"/>
      <c r="AG15" s="17"/>
      <c r="AH15" s="100"/>
      <c r="AI15" s="100"/>
      <c r="AJ15" s="101"/>
      <c r="AK15" s="100"/>
      <c r="AL15" s="101"/>
      <c r="AM15" s="98"/>
      <c r="AN15" s="100"/>
      <c r="AO15" s="155" t="str">
        <f t="shared" si="0"/>
        <v>OK</v>
      </c>
      <c r="AP15" t="s">
        <v>22</v>
      </c>
    </row>
    <row r="16" spans="1:44" x14ac:dyDescent="0.35">
      <c r="A16" s="16" t="s">
        <v>23</v>
      </c>
      <c r="B16" s="17"/>
      <c r="C16" s="17"/>
      <c r="D16" s="26"/>
      <c r="E16" s="17"/>
      <c r="F16" s="26"/>
      <c r="G16" s="43"/>
      <c r="H16" s="17"/>
      <c r="I16" s="17"/>
      <c r="J16" s="17"/>
      <c r="K16" s="17"/>
      <c r="L16" s="26"/>
      <c r="M16" s="17"/>
      <c r="N16" s="26"/>
      <c r="O16" s="43"/>
      <c r="P16" s="17"/>
      <c r="Q16" s="17"/>
      <c r="R16" s="17"/>
      <c r="S16" s="17"/>
      <c r="T16" s="26"/>
      <c r="U16" s="17"/>
      <c r="V16" s="26"/>
      <c r="W16" s="43"/>
      <c r="X16" s="17"/>
      <c r="Y16" s="17"/>
      <c r="Z16" s="17"/>
      <c r="AA16" s="17"/>
      <c r="AB16" s="26"/>
      <c r="AC16" s="17"/>
      <c r="AD16" s="26"/>
      <c r="AE16" s="43"/>
      <c r="AF16" s="17"/>
      <c r="AG16" s="17"/>
      <c r="AH16" s="100"/>
      <c r="AI16" s="100"/>
      <c r="AJ16" s="101"/>
      <c r="AK16" s="100"/>
      <c r="AL16" s="101"/>
      <c r="AM16" s="98"/>
      <c r="AN16" s="100"/>
      <c r="AO16" s="155" t="str">
        <f t="shared" si="0"/>
        <v>OK</v>
      </c>
      <c r="AP16" t="s">
        <v>23</v>
      </c>
    </row>
    <row r="17" spans="1:44" x14ac:dyDescent="0.35">
      <c r="A17" s="16" t="s">
        <v>4</v>
      </c>
      <c r="B17" s="17">
        <v>2687243</v>
      </c>
      <c r="C17" s="17">
        <v>93546</v>
      </c>
      <c r="D17" s="26">
        <v>3.4811142870220517E-2</v>
      </c>
      <c r="E17" s="17">
        <v>279077</v>
      </c>
      <c r="F17" s="26">
        <v>0.10385253585180053</v>
      </c>
      <c r="G17" s="43">
        <v>18</v>
      </c>
      <c r="H17" s="17">
        <v>18161</v>
      </c>
      <c r="I17" s="17"/>
      <c r="J17" s="17">
        <v>3404683</v>
      </c>
      <c r="K17" s="17">
        <v>536315</v>
      </c>
      <c r="L17" s="26">
        <v>0.15752274147108555</v>
      </c>
      <c r="M17" s="17">
        <v>374786</v>
      </c>
      <c r="N17" s="26">
        <v>0.11007955806752052</v>
      </c>
      <c r="O17" s="43">
        <v>20</v>
      </c>
      <c r="P17" s="17">
        <v>20468</v>
      </c>
      <c r="Q17" s="17"/>
      <c r="R17" s="17">
        <v>3039217.8099999973</v>
      </c>
      <c r="S17" s="17">
        <v>179503</v>
      </c>
      <c r="T17" s="26">
        <v>5.9062236148188459E-2</v>
      </c>
      <c r="U17" s="17">
        <v>388861</v>
      </c>
      <c r="V17" s="26">
        <v>0.12794772349665862</v>
      </c>
      <c r="W17" s="43">
        <v>24</v>
      </c>
      <c r="X17" s="17">
        <v>36000</v>
      </c>
      <c r="Y17" s="17"/>
      <c r="Z17" s="17">
        <v>3398075.629999998</v>
      </c>
      <c r="AA17" s="17">
        <v>316901.11000000004</v>
      </c>
      <c r="AB17" s="26">
        <v>9.325899259046222E-2</v>
      </c>
      <c r="AC17" s="17">
        <v>372199.13</v>
      </c>
      <c r="AD17" s="26">
        <v>0.10953232668338234</v>
      </c>
      <c r="AE17" s="43">
        <v>24</v>
      </c>
      <c r="AF17" s="17">
        <v>36000</v>
      </c>
      <c r="AG17" s="17"/>
      <c r="AH17" s="100">
        <v>3835424.5899999971</v>
      </c>
      <c r="AI17" s="100">
        <v>347853.71</v>
      </c>
      <c r="AJ17" s="101">
        <f>AI17/AH17</f>
        <v>9.0694967880987659E-2</v>
      </c>
      <c r="AK17" s="100">
        <v>337621.22000000003</v>
      </c>
      <c r="AL17" s="101">
        <f>AK17/AH17</f>
        <v>8.8027078118097041E-2</v>
      </c>
      <c r="AM17" s="98">
        <v>24</v>
      </c>
      <c r="AN17" s="100">
        <v>72000</v>
      </c>
      <c r="AO17" s="155" t="str">
        <f t="shared" si="0"/>
        <v>OK</v>
      </c>
      <c r="AP17" t="s">
        <v>4</v>
      </c>
      <c r="AQ17">
        <v>24</v>
      </c>
      <c r="AR17" s="271">
        <v>72000</v>
      </c>
    </row>
    <row r="18" spans="1:44" x14ac:dyDescent="0.35">
      <c r="A18" s="16" t="s">
        <v>6</v>
      </c>
      <c r="B18" s="17">
        <v>991243</v>
      </c>
      <c r="C18" s="17">
        <v>262082</v>
      </c>
      <c r="D18" s="26">
        <v>0.26439732739600685</v>
      </c>
      <c r="E18" s="17">
        <v>498246</v>
      </c>
      <c r="F18" s="26">
        <v>0.5026476857844141</v>
      </c>
      <c r="G18" s="43">
        <v>50</v>
      </c>
      <c r="H18" s="17">
        <v>45831</v>
      </c>
      <c r="I18" s="17"/>
      <c r="J18" s="17">
        <v>1089779</v>
      </c>
      <c r="K18" s="17">
        <v>183341</v>
      </c>
      <c r="L18" s="26">
        <v>0.16823686270335544</v>
      </c>
      <c r="M18" s="17">
        <v>531701</v>
      </c>
      <c r="N18" s="26">
        <v>0.4878980050083549</v>
      </c>
      <c r="O18" s="43">
        <v>36</v>
      </c>
      <c r="P18" s="17">
        <v>64223</v>
      </c>
      <c r="Q18" s="17"/>
      <c r="R18" s="17">
        <v>1128253.5199999982</v>
      </c>
      <c r="S18" s="17">
        <v>313342</v>
      </c>
      <c r="T18" s="26">
        <v>0.27772304224674654</v>
      </c>
      <c r="U18" s="17">
        <v>553978</v>
      </c>
      <c r="V18" s="26">
        <v>0.49100489400644715</v>
      </c>
      <c r="W18" s="43">
        <v>45</v>
      </c>
      <c r="X18" s="17">
        <v>121383</v>
      </c>
      <c r="Y18" s="17"/>
      <c r="Z18" s="17">
        <v>1047499.1699999988</v>
      </c>
      <c r="AA18" s="17">
        <v>100658.14</v>
      </c>
      <c r="AB18" s="26">
        <v>9.6093765878592641E-2</v>
      </c>
      <c r="AC18" s="17">
        <v>522812</v>
      </c>
      <c r="AD18" s="26">
        <v>0.49910493007837003</v>
      </c>
      <c r="AE18" s="43">
        <v>17</v>
      </c>
      <c r="AF18" s="17">
        <v>47000</v>
      </c>
      <c r="AG18" s="17"/>
      <c r="AH18" s="100">
        <v>1094290.6499999987</v>
      </c>
      <c r="AI18" s="100">
        <v>107924.33</v>
      </c>
      <c r="AJ18" s="101">
        <f>AI18/AH18</f>
        <v>9.8624921998556894E-2</v>
      </c>
      <c r="AK18" s="100">
        <v>474154</v>
      </c>
      <c r="AL18" s="101">
        <f>AK18/AH18</f>
        <v>0.43329804563348917</v>
      </c>
      <c r="AM18" s="98">
        <v>17</v>
      </c>
      <c r="AN18" s="100">
        <v>34474.430000000008</v>
      </c>
      <c r="AO18" s="155" t="str">
        <f t="shared" si="0"/>
        <v>OK</v>
      </c>
      <c r="AP18" t="s">
        <v>6</v>
      </c>
      <c r="AQ18">
        <v>17</v>
      </c>
      <c r="AR18" s="271">
        <v>34474.430000000008</v>
      </c>
    </row>
    <row r="19" spans="1:44" x14ac:dyDescent="0.35">
      <c r="A19" s="16" t="s">
        <v>5</v>
      </c>
      <c r="B19" s="17"/>
      <c r="C19" s="17"/>
      <c r="D19" s="26"/>
      <c r="E19" s="17"/>
      <c r="F19" s="26"/>
      <c r="G19" s="43"/>
      <c r="H19" s="17"/>
      <c r="I19" s="17"/>
      <c r="J19" s="17"/>
      <c r="K19" s="17"/>
      <c r="L19" s="26"/>
      <c r="M19" s="17"/>
      <c r="N19" s="26"/>
      <c r="O19" s="43"/>
      <c r="P19" s="17"/>
      <c r="Q19" s="17"/>
      <c r="R19" s="17"/>
      <c r="S19" s="17"/>
      <c r="T19" s="26"/>
      <c r="U19" s="17"/>
      <c r="V19" s="26"/>
      <c r="W19" s="43"/>
      <c r="X19" s="17"/>
      <c r="Y19" s="17"/>
      <c r="Z19" s="17"/>
      <c r="AA19" s="17"/>
      <c r="AB19" s="26"/>
      <c r="AC19" s="17"/>
      <c r="AD19" s="26"/>
      <c r="AE19" s="43"/>
      <c r="AF19" s="17"/>
      <c r="AG19" s="17"/>
      <c r="AH19" s="100"/>
      <c r="AI19" s="100"/>
      <c r="AJ19" s="101"/>
      <c r="AK19" s="100"/>
      <c r="AL19" s="101"/>
      <c r="AM19" s="98"/>
      <c r="AN19" s="100"/>
      <c r="AO19" s="155" t="str">
        <f t="shared" si="0"/>
        <v>OK</v>
      </c>
      <c r="AP19" t="s">
        <v>5</v>
      </c>
    </row>
    <row r="20" spans="1:44" x14ac:dyDescent="0.35">
      <c r="A20" s="16" t="s">
        <v>24</v>
      </c>
      <c r="B20" s="17"/>
      <c r="C20" s="17"/>
      <c r="D20" s="26"/>
      <c r="E20" s="17"/>
      <c r="F20" s="26"/>
      <c r="G20" s="43"/>
      <c r="H20" s="17"/>
      <c r="I20" s="17"/>
      <c r="J20" s="17"/>
      <c r="K20" s="17"/>
      <c r="L20" s="26"/>
      <c r="M20" s="17"/>
      <c r="N20" s="26"/>
      <c r="O20" s="43"/>
      <c r="P20" s="17"/>
      <c r="Q20" s="17"/>
      <c r="R20" s="17"/>
      <c r="S20" s="17"/>
      <c r="T20" s="26"/>
      <c r="U20" s="17"/>
      <c r="V20" s="26"/>
      <c r="W20" s="43"/>
      <c r="X20" s="17"/>
      <c r="Y20" s="17"/>
      <c r="Z20" s="17"/>
      <c r="AA20" s="17"/>
      <c r="AB20" s="26"/>
      <c r="AC20" s="17"/>
      <c r="AD20" s="26"/>
      <c r="AE20" s="43"/>
      <c r="AF20" s="17"/>
      <c r="AG20" s="17"/>
      <c r="AH20" s="100"/>
      <c r="AI20" s="100"/>
      <c r="AJ20" s="101"/>
      <c r="AK20" s="100"/>
      <c r="AL20" s="101"/>
      <c r="AM20" s="98"/>
      <c r="AN20" s="100"/>
      <c r="AO20" s="155" t="str">
        <f t="shared" si="0"/>
        <v>OK</v>
      </c>
      <c r="AP20" t="s">
        <v>24</v>
      </c>
    </row>
    <row r="21" spans="1:44" x14ac:dyDescent="0.35">
      <c r="A21" s="16" t="s">
        <v>7</v>
      </c>
      <c r="B21" s="17">
        <v>19806934</v>
      </c>
      <c r="C21" s="17">
        <v>3831146</v>
      </c>
      <c r="D21" s="26">
        <v>0.19342448457696684</v>
      </c>
      <c r="E21" s="17"/>
      <c r="F21" s="26">
        <v>0</v>
      </c>
      <c r="G21" s="43">
        <v>72</v>
      </c>
      <c r="H21" s="17">
        <v>554232</v>
      </c>
      <c r="I21" s="17"/>
      <c r="J21" s="17">
        <v>23179820</v>
      </c>
      <c r="K21" s="17">
        <v>3059073</v>
      </c>
      <c r="L21" s="26">
        <v>0.13197138718074602</v>
      </c>
      <c r="M21" s="17"/>
      <c r="N21" s="26">
        <v>0</v>
      </c>
      <c r="O21" s="43">
        <v>63</v>
      </c>
      <c r="P21" s="17">
        <v>624087</v>
      </c>
      <c r="Q21" s="17"/>
      <c r="R21" s="17">
        <v>26299469.100000013</v>
      </c>
      <c r="S21" s="17">
        <v>5744055</v>
      </c>
      <c r="T21" s="26">
        <v>0.21840954196295914</v>
      </c>
      <c r="U21" s="17"/>
      <c r="V21" s="26">
        <v>0</v>
      </c>
      <c r="W21" s="43">
        <v>62</v>
      </c>
      <c r="X21" s="17">
        <v>649757</v>
      </c>
      <c r="Y21" s="17"/>
      <c r="Z21" s="17">
        <v>26854481.490000017</v>
      </c>
      <c r="AA21" s="17">
        <v>1336513.5299999998</v>
      </c>
      <c r="AB21" s="26">
        <v>4.9768733404801958E-2</v>
      </c>
      <c r="AC21" s="17"/>
      <c r="AD21" s="26"/>
      <c r="AE21" s="43">
        <v>60</v>
      </c>
      <c r="AF21" s="17">
        <v>533402.39999999979</v>
      </c>
      <c r="AG21" s="17"/>
      <c r="AH21" s="100">
        <v>28588616.860000033</v>
      </c>
      <c r="AI21" s="100">
        <v>1555168.5199999998</v>
      </c>
      <c r="AJ21" s="101">
        <f>AI21/AH21</f>
        <v>5.4398172797786692E-2</v>
      </c>
      <c r="AK21" s="100"/>
      <c r="AL21" s="101"/>
      <c r="AM21" s="98">
        <v>24</v>
      </c>
      <c r="AN21" s="100">
        <v>329913.42</v>
      </c>
      <c r="AO21" s="155" t="str">
        <f t="shared" si="0"/>
        <v>OK</v>
      </c>
      <c r="AP21" t="s">
        <v>7</v>
      </c>
      <c r="AQ21">
        <v>24</v>
      </c>
      <c r="AR21" s="271">
        <v>329913.42</v>
      </c>
    </row>
    <row r="22" spans="1:44" x14ac:dyDescent="0.35">
      <c r="A22" s="16" t="s">
        <v>8</v>
      </c>
      <c r="B22" s="17">
        <v>1396538</v>
      </c>
      <c r="C22" s="17">
        <v>110074</v>
      </c>
      <c r="D22" s="26">
        <v>7.881919432195901E-2</v>
      </c>
      <c r="E22" s="17">
        <v>583299</v>
      </c>
      <c r="F22" s="26">
        <v>0.41767499344808379</v>
      </c>
      <c r="G22" s="43">
        <v>22</v>
      </c>
      <c r="H22" s="17">
        <v>64756</v>
      </c>
      <c r="I22" s="17"/>
      <c r="J22" s="17">
        <v>1249312</v>
      </c>
      <c r="K22" s="17">
        <v>138713</v>
      </c>
      <c r="L22" s="26">
        <v>0.11103151174406393</v>
      </c>
      <c r="M22" s="17">
        <v>513526</v>
      </c>
      <c r="N22" s="26">
        <v>0.41104704029097616</v>
      </c>
      <c r="O22" s="43">
        <v>30</v>
      </c>
      <c r="P22" s="17">
        <v>166390</v>
      </c>
      <c r="Q22" s="17"/>
      <c r="R22" s="17">
        <v>1347411.1299999973</v>
      </c>
      <c r="S22" s="17">
        <v>275050</v>
      </c>
      <c r="T22" s="26">
        <v>0.20413220128291545</v>
      </c>
      <c r="U22" s="17">
        <v>472487</v>
      </c>
      <c r="V22" s="26">
        <v>0.35066282998567849</v>
      </c>
      <c r="W22" s="43">
        <v>32</v>
      </c>
      <c r="X22" s="17">
        <v>162489</v>
      </c>
      <c r="Y22" s="17"/>
      <c r="Z22" s="17">
        <v>1167105.8699999971</v>
      </c>
      <c r="AA22" s="17">
        <v>40452.639999999992</v>
      </c>
      <c r="AB22" s="26">
        <v>3.466064308287653E-2</v>
      </c>
      <c r="AC22" s="17">
        <v>480545.58</v>
      </c>
      <c r="AD22" s="26">
        <v>0.41174120733365965</v>
      </c>
      <c r="AE22" s="43">
        <v>24</v>
      </c>
      <c r="AF22" s="17">
        <v>56258.239999999991</v>
      </c>
      <c r="AG22" s="17"/>
      <c r="AH22" s="100">
        <v>1245043.3799999969</v>
      </c>
      <c r="AI22" s="100">
        <v>216486.24000000005</v>
      </c>
      <c r="AJ22" s="101">
        <f>AI22/AH22</f>
        <v>0.17387847160795361</v>
      </c>
      <c r="AK22" s="100">
        <v>539546.51</v>
      </c>
      <c r="AL22" s="101">
        <f>AK22/AH22</f>
        <v>0.43335559119233369</v>
      </c>
      <c r="AM22" s="98">
        <v>20</v>
      </c>
      <c r="AN22" s="100">
        <v>64995.069999999992</v>
      </c>
      <c r="AO22" s="155" t="str">
        <f t="shared" si="0"/>
        <v>OK</v>
      </c>
      <c r="AP22" t="s">
        <v>8</v>
      </c>
      <c r="AQ22">
        <v>20</v>
      </c>
      <c r="AR22" s="271">
        <v>64995.069999999992</v>
      </c>
    </row>
    <row r="23" spans="1:44" x14ac:dyDescent="0.35">
      <c r="A23" s="16" t="s">
        <v>19</v>
      </c>
      <c r="B23" s="17">
        <v>30168836</v>
      </c>
      <c r="C23" s="17">
        <v>5438413</v>
      </c>
      <c r="D23" s="26">
        <v>0.18026592076671435</v>
      </c>
      <c r="E23" s="17">
        <v>6225660</v>
      </c>
      <c r="F23" s="26">
        <v>0.20636062988973125</v>
      </c>
      <c r="G23" s="43">
        <v>133</v>
      </c>
      <c r="H23" s="17">
        <v>629461</v>
      </c>
      <c r="I23" s="17"/>
      <c r="J23" s="17">
        <v>31661634</v>
      </c>
      <c r="K23" s="17">
        <v>7052994</v>
      </c>
      <c r="L23" s="26">
        <v>0.22276152898489068</v>
      </c>
      <c r="M23" s="17">
        <v>6338734</v>
      </c>
      <c r="N23" s="26">
        <v>0.2002023647926699</v>
      </c>
      <c r="O23" s="43">
        <v>142</v>
      </c>
      <c r="P23" s="17">
        <v>989148</v>
      </c>
      <c r="Q23" s="17"/>
      <c r="R23" s="17">
        <v>34931731.870000653</v>
      </c>
      <c r="S23" s="17">
        <v>7216839</v>
      </c>
      <c r="T23" s="26">
        <v>0.20659837384695537</v>
      </c>
      <c r="U23" s="17">
        <v>7646290</v>
      </c>
      <c r="V23" s="26">
        <v>0.21889238210277884</v>
      </c>
      <c r="W23" s="43">
        <v>155</v>
      </c>
      <c r="X23" s="17">
        <v>922151</v>
      </c>
      <c r="Y23" s="17"/>
      <c r="Z23" s="17">
        <v>39305248.070000522</v>
      </c>
      <c r="AA23" s="17">
        <v>7174452.0100000324</v>
      </c>
      <c r="AB23" s="26">
        <v>0.18253165575301092</v>
      </c>
      <c r="AC23" s="17">
        <v>9050088.0899999943</v>
      </c>
      <c r="AD23" s="26">
        <v>0.23025139222839344</v>
      </c>
      <c r="AE23" s="43">
        <v>106</v>
      </c>
      <c r="AF23" s="17">
        <v>805834.73000000091</v>
      </c>
      <c r="AG23" s="17"/>
      <c r="AH23" s="100">
        <v>41351937.340000257</v>
      </c>
      <c r="AI23" s="100">
        <v>9871661.3500000257</v>
      </c>
      <c r="AJ23" s="101">
        <f>AI23/AH23</f>
        <v>0.2387230680109162</v>
      </c>
      <c r="AK23" s="100">
        <v>9921497.3599999845</v>
      </c>
      <c r="AL23" s="101">
        <f>AK23/AH23</f>
        <v>0.23992823548808179</v>
      </c>
      <c r="AM23" s="98">
        <v>101</v>
      </c>
      <c r="AN23" s="100">
        <v>741947.49</v>
      </c>
      <c r="AO23" s="155" t="str">
        <f t="shared" si="0"/>
        <v>OK</v>
      </c>
      <c r="AP23" t="s">
        <v>19</v>
      </c>
      <c r="AQ23">
        <v>101</v>
      </c>
      <c r="AR23" s="271">
        <v>741947.49</v>
      </c>
    </row>
    <row r="24" spans="1:44" x14ac:dyDescent="0.35">
      <c r="A24" s="16" t="s">
        <v>20</v>
      </c>
      <c r="B24" s="17"/>
      <c r="C24" s="17"/>
      <c r="D24" s="26"/>
      <c r="E24" s="17"/>
      <c r="F24" s="26"/>
      <c r="G24" s="43"/>
      <c r="H24" s="17"/>
      <c r="I24" s="17"/>
      <c r="J24" s="17"/>
      <c r="K24" s="17"/>
      <c r="L24" s="26"/>
      <c r="M24" s="17"/>
      <c r="N24" s="26"/>
      <c r="O24" s="43"/>
      <c r="P24" s="17"/>
      <c r="Q24" s="17"/>
      <c r="R24" s="17"/>
      <c r="S24" s="17"/>
      <c r="T24" s="26"/>
      <c r="U24" s="17"/>
      <c r="V24" s="26"/>
      <c r="W24" s="43"/>
      <c r="X24" s="17"/>
      <c r="Y24" s="17"/>
      <c r="Z24" s="17"/>
      <c r="AA24" s="17"/>
      <c r="AB24" s="26"/>
      <c r="AC24" s="17"/>
      <c r="AD24" s="26"/>
      <c r="AE24" s="43"/>
      <c r="AF24" s="17"/>
      <c r="AG24" s="17"/>
      <c r="AH24" s="100"/>
      <c r="AI24" s="100"/>
      <c r="AJ24" s="101"/>
      <c r="AK24" s="100"/>
      <c r="AL24" s="101"/>
      <c r="AM24" s="98"/>
      <c r="AN24" s="100"/>
      <c r="AO24" s="155" t="str">
        <f t="shared" si="0"/>
        <v>OK</v>
      </c>
      <c r="AP24" t="s">
        <v>20</v>
      </c>
    </row>
    <row r="25" spans="1:44" x14ac:dyDescent="0.35">
      <c r="A25" s="16" t="s">
        <v>27</v>
      </c>
      <c r="B25" s="17">
        <v>61102</v>
      </c>
      <c r="C25" s="17">
        <v>2200</v>
      </c>
      <c r="D25" s="26">
        <v>3.6005368073058167E-2</v>
      </c>
      <c r="E25" s="17">
        <v>3300</v>
      </c>
      <c r="F25" s="26">
        <v>5.400805210958725E-2</v>
      </c>
      <c r="G25" s="43"/>
      <c r="H25" s="17"/>
      <c r="I25" s="17"/>
      <c r="J25" s="17">
        <v>62420</v>
      </c>
      <c r="K25" s="17">
        <v>10900</v>
      </c>
      <c r="L25" s="26">
        <v>0.17462351810317206</v>
      </c>
      <c r="M25" s="17">
        <v>2400</v>
      </c>
      <c r="N25" s="26">
        <v>3.8449214995193846E-2</v>
      </c>
      <c r="O25" s="43"/>
      <c r="P25" s="17"/>
      <c r="Q25" s="17"/>
      <c r="R25" s="17">
        <v>75863.5</v>
      </c>
      <c r="S25" s="17">
        <v>2500</v>
      </c>
      <c r="T25" s="26">
        <v>3.2953923823709687E-2</v>
      </c>
      <c r="U25" s="17">
        <v>2600</v>
      </c>
      <c r="V25" s="26">
        <v>3.4272080776658075E-2</v>
      </c>
      <c r="W25" s="43"/>
      <c r="X25" s="17"/>
      <c r="Y25" s="17"/>
      <c r="Z25" s="17">
        <v>81687.75</v>
      </c>
      <c r="AA25" s="17">
        <v>11410</v>
      </c>
      <c r="AB25" s="26">
        <v>0.13967822592738813</v>
      </c>
      <c r="AC25" s="17">
        <v>4700</v>
      </c>
      <c r="AD25" s="26">
        <v>5.7536166683499056E-2</v>
      </c>
      <c r="AE25" s="43"/>
      <c r="AF25" s="17"/>
      <c r="AG25" s="17"/>
      <c r="AH25" s="100">
        <v>69793.279999999999</v>
      </c>
      <c r="AI25" s="100">
        <v>4930</v>
      </c>
      <c r="AJ25" s="101">
        <f t="shared" ref="AJ25:AJ36" si="1">AI25/AH25</f>
        <v>7.0637173091736047E-2</v>
      </c>
      <c r="AK25" s="100">
        <v>6100</v>
      </c>
      <c r="AL25" s="101">
        <f t="shared" ref="AL25:AL36" si="2">AK25/AH25</f>
        <v>8.7400964677401605E-2</v>
      </c>
      <c r="AM25" s="98"/>
      <c r="AN25" s="100"/>
      <c r="AO25" s="155" t="str">
        <f t="shared" si="0"/>
        <v>OK</v>
      </c>
      <c r="AP25" t="s">
        <v>27</v>
      </c>
    </row>
    <row r="26" spans="1:44" x14ac:dyDescent="0.35">
      <c r="A26" s="16" t="s">
        <v>9</v>
      </c>
      <c r="B26" s="17">
        <v>46061604</v>
      </c>
      <c r="C26" s="17">
        <v>3262601</v>
      </c>
      <c r="D26" s="26">
        <v>7.08312502534649E-2</v>
      </c>
      <c r="E26" s="17">
        <v>7730004</v>
      </c>
      <c r="F26" s="26">
        <v>0.16781881933594844</v>
      </c>
      <c r="G26" s="43">
        <v>69</v>
      </c>
      <c r="H26" s="17">
        <v>119498</v>
      </c>
      <c r="I26" s="17"/>
      <c r="J26" s="17">
        <v>48566761</v>
      </c>
      <c r="K26" s="17">
        <v>3562292</v>
      </c>
      <c r="L26" s="26">
        <v>7.3348354443484504E-2</v>
      </c>
      <c r="M26" s="17">
        <v>7426068</v>
      </c>
      <c r="N26" s="26">
        <v>0.15290432895041117</v>
      </c>
      <c r="O26" s="43">
        <v>68</v>
      </c>
      <c r="P26" s="17">
        <v>176889</v>
      </c>
      <c r="Q26" s="17"/>
      <c r="R26" s="17">
        <v>46140763.059999645</v>
      </c>
      <c r="S26" s="17">
        <v>3440422</v>
      </c>
      <c r="T26" s="26">
        <v>7.4563612992836939E-2</v>
      </c>
      <c r="U26" s="17">
        <v>6909002</v>
      </c>
      <c r="V26" s="26">
        <v>0.14973748897511305</v>
      </c>
      <c r="W26" s="43">
        <v>83</v>
      </c>
      <c r="X26" s="17">
        <v>252903</v>
      </c>
      <c r="Y26" s="17"/>
      <c r="Z26" s="17">
        <v>45503521.899999715</v>
      </c>
      <c r="AA26" s="17">
        <v>4412897.9499999927</v>
      </c>
      <c r="AB26" s="26">
        <v>9.6979261510745179E-2</v>
      </c>
      <c r="AC26" s="17">
        <v>6586249.5799999982</v>
      </c>
      <c r="AD26" s="26">
        <v>0.1447415343909905</v>
      </c>
      <c r="AE26" s="43">
        <v>60</v>
      </c>
      <c r="AF26" s="17">
        <v>152000</v>
      </c>
      <c r="AG26" s="17"/>
      <c r="AH26" s="100">
        <v>47185688.289999515</v>
      </c>
      <c r="AI26" s="100">
        <v>8155417.4600000251</v>
      </c>
      <c r="AJ26" s="101">
        <f t="shared" si="1"/>
        <v>0.17283667475352851</v>
      </c>
      <c r="AK26" s="100">
        <v>6843890.6799999997</v>
      </c>
      <c r="AL26" s="101">
        <f t="shared" si="2"/>
        <v>0.14504166258925774</v>
      </c>
      <c r="AM26" s="98">
        <v>71</v>
      </c>
      <c r="AN26" s="100">
        <v>193225</v>
      </c>
      <c r="AO26" s="155" t="str">
        <f t="shared" si="0"/>
        <v>OK</v>
      </c>
      <c r="AP26" t="s">
        <v>9</v>
      </c>
      <c r="AQ26">
        <v>71</v>
      </c>
      <c r="AR26" s="271">
        <v>193225</v>
      </c>
    </row>
    <row r="27" spans="1:44" x14ac:dyDescent="0.35">
      <c r="A27" s="16" t="s">
        <v>342</v>
      </c>
      <c r="B27" s="17">
        <v>15501357</v>
      </c>
      <c r="C27" s="17">
        <v>1128908</v>
      </c>
      <c r="D27" s="26">
        <v>7.2826398359833913E-2</v>
      </c>
      <c r="E27" s="17">
        <v>2109558</v>
      </c>
      <c r="F27" s="26">
        <v>0.13608860179144316</v>
      </c>
      <c r="G27" s="43">
        <v>69</v>
      </c>
      <c r="H27" s="17">
        <v>88191</v>
      </c>
      <c r="I27" s="17"/>
      <c r="J27" s="17">
        <v>18054637</v>
      </c>
      <c r="K27" s="17">
        <v>1471313</v>
      </c>
      <c r="L27" s="26">
        <v>8.1492250439596209E-2</v>
      </c>
      <c r="M27" s="17">
        <v>2231627</v>
      </c>
      <c r="N27" s="26">
        <v>0.12360409129244747</v>
      </c>
      <c r="O27" s="43">
        <v>107</v>
      </c>
      <c r="P27" s="17">
        <v>142172</v>
      </c>
      <c r="Q27" s="17"/>
      <c r="R27" s="17">
        <v>20641772.290000122</v>
      </c>
      <c r="S27" s="17">
        <v>1433495</v>
      </c>
      <c r="T27" s="26">
        <v>6.9446314001557638E-2</v>
      </c>
      <c r="U27" s="17">
        <v>2387615</v>
      </c>
      <c r="V27" s="26">
        <v>0.11566908918749563</v>
      </c>
      <c r="W27" s="43">
        <v>83</v>
      </c>
      <c r="X27" s="17">
        <v>77379</v>
      </c>
      <c r="Y27" s="17"/>
      <c r="Z27" s="17">
        <v>22883632.950000238</v>
      </c>
      <c r="AA27" s="17">
        <v>2382376.5499999989</v>
      </c>
      <c r="AB27" s="26">
        <v>0.10410831860506546</v>
      </c>
      <c r="AC27" s="17">
        <v>2633421.169999999</v>
      </c>
      <c r="AD27" s="26">
        <v>0.11507880657559541</v>
      </c>
      <c r="AE27" s="43">
        <v>73</v>
      </c>
      <c r="AF27" s="17">
        <v>79429.01999999996</v>
      </c>
      <c r="AG27" s="17"/>
      <c r="AH27" s="100">
        <v>23431917.680000201</v>
      </c>
      <c r="AI27" s="100">
        <v>1945835.6399999952</v>
      </c>
      <c r="AJ27" s="101">
        <f t="shared" si="1"/>
        <v>8.3042099523114171E-2</v>
      </c>
      <c r="AK27" s="100">
        <v>2185343.6800000006</v>
      </c>
      <c r="AL27" s="101">
        <f t="shared" si="2"/>
        <v>9.326354376301231E-2</v>
      </c>
      <c r="AM27" s="98">
        <v>38</v>
      </c>
      <c r="AN27" s="100">
        <v>57492.21</v>
      </c>
      <c r="AO27" s="155" t="str">
        <f t="shared" si="0"/>
        <v>OK</v>
      </c>
      <c r="AP27" t="s">
        <v>342</v>
      </c>
      <c r="AQ27">
        <v>38</v>
      </c>
      <c r="AR27" s="271">
        <v>57492.21</v>
      </c>
    </row>
    <row r="28" spans="1:44" x14ac:dyDescent="0.35">
      <c r="A28" s="16" t="s">
        <v>178</v>
      </c>
      <c r="B28" s="17">
        <v>3344531</v>
      </c>
      <c r="C28" s="17">
        <v>545065</v>
      </c>
      <c r="D28" s="26">
        <v>0.16297202806611749</v>
      </c>
      <c r="E28" s="17">
        <v>657280</v>
      </c>
      <c r="F28" s="26">
        <v>0.19652381753973874</v>
      </c>
      <c r="G28" s="43">
        <v>179</v>
      </c>
      <c r="H28" s="17">
        <v>446153</v>
      </c>
      <c r="I28" s="17"/>
      <c r="J28" s="17">
        <v>3007070</v>
      </c>
      <c r="K28" s="17">
        <v>630520</v>
      </c>
      <c r="L28" s="26">
        <v>0.20967918937703478</v>
      </c>
      <c r="M28" s="17">
        <v>615726</v>
      </c>
      <c r="N28" s="26">
        <v>0.20475945022896042</v>
      </c>
      <c r="O28" s="43">
        <v>175</v>
      </c>
      <c r="P28" s="17">
        <v>504259</v>
      </c>
      <c r="Q28" s="17"/>
      <c r="R28" s="17">
        <v>4009062.2499999953</v>
      </c>
      <c r="S28" s="17">
        <v>630126</v>
      </c>
      <c r="T28" s="26">
        <v>0.15717540928679785</v>
      </c>
      <c r="U28" s="17">
        <v>778076</v>
      </c>
      <c r="V28" s="26">
        <v>0.19407930121314551</v>
      </c>
      <c r="W28" s="43">
        <v>244</v>
      </c>
      <c r="X28" s="17">
        <v>599942</v>
      </c>
      <c r="Y28" s="17"/>
      <c r="Z28" s="17">
        <v>4762846.8799999971</v>
      </c>
      <c r="AA28" s="17">
        <v>462156.23000000004</v>
      </c>
      <c r="AB28" s="26">
        <v>9.7033610704696918E-2</v>
      </c>
      <c r="AC28" s="17">
        <v>736225.39999999979</v>
      </c>
      <c r="AD28" s="26">
        <v>0.15457675179345681</v>
      </c>
      <c r="AE28" s="43">
        <v>143</v>
      </c>
      <c r="AF28" s="17">
        <v>441346.70999999979</v>
      </c>
      <c r="AG28" s="17"/>
      <c r="AH28" s="100">
        <v>4919919.3000000017</v>
      </c>
      <c r="AI28" s="100">
        <v>534734.44000000006</v>
      </c>
      <c r="AJ28" s="101">
        <f t="shared" si="1"/>
        <v>0.10868764453107999</v>
      </c>
      <c r="AK28" s="100">
        <v>886254.68999999983</v>
      </c>
      <c r="AL28" s="101">
        <f t="shared" si="2"/>
        <v>0.18013602174328339</v>
      </c>
      <c r="AM28" s="98">
        <v>30</v>
      </c>
      <c r="AN28" s="100">
        <v>239710.04</v>
      </c>
      <c r="AO28" s="155" t="str">
        <f t="shared" si="0"/>
        <v>OK</v>
      </c>
      <c r="AP28" t="s">
        <v>178</v>
      </c>
      <c r="AQ28">
        <v>30</v>
      </c>
      <c r="AR28" s="271">
        <v>239710.04</v>
      </c>
    </row>
    <row r="29" spans="1:44" x14ac:dyDescent="0.35">
      <c r="A29" s="16" t="s">
        <v>10</v>
      </c>
      <c r="B29" s="17">
        <v>3895779</v>
      </c>
      <c r="C29" s="17">
        <v>218319</v>
      </c>
      <c r="D29" s="26">
        <v>5.6039883165857202E-2</v>
      </c>
      <c r="E29" s="17">
        <v>872848</v>
      </c>
      <c r="F29" s="26">
        <v>0.22404967016866204</v>
      </c>
      <c r="G29" s="43">
        <v>15</v>
      </c>
      <c r="H29" s="17">
        <v>113500</v>
      </c>
      <c r="I29" s="17"/>
      <c r="J29" s="17">
        <v>3958087</v>
      </c>
      <c r="K29" s="17">
        <v>369453</v>
      </c>
      <c r="L29" s="26">
        <v>9.3341303513540752E-2</v>
      </c>
      <c r="M29" s="17">
        <v>871948</v>
      </c>
      <c r="N29" s="26">
        <v>0.22029530932493399</v>
      </c>
      <c r="O29" s="43">
        <v>24</v>
      </c>
      <c r="P29" s="17">
        <v>191824</v>
      </c>
      <c r="Q29" s="17"/>
      <c r="R29" s="17">
        <v>4549448.459999999</v>
      </c>
      <c r="S29" s="17">
        <v>561722</v>
      </c>
      <c r="T29" s="26">
        <v>0.12347035139288073</v>
      </c>
      <c r="U29" s="17">
        <v>1019021</v>
      </c>
      <c r="V29" s="26">
        <v>0.22398781060155151</v>
      </c>
      <c r="W29" s="43">
        <v>23</v>
      </c>
      <c r="X29" s="17">
        <v>155522</v>
      </c>
      <c r="Y29" s="17"/>
      <c r="Z29" s="17">
        <v>4405654.0299999984</v>
      </c>
      <c r="AA29" s="17">
        <v>476033.31</v>
      </c>
      <c r="AB29" s="26">
        <v>0.10805054295196216</v>
      </c>
      <c r="AC29" s="17">
        <v>899293.25000000012</v>
      </c>
      <c r="AD29" s="26">
        <v>0.20412253070175837</v>
      </c>
      <c r="AE29" s="43">
        <v>25</v>
      </c>
      <c r="AF29" s="17">
        <v>129124.47</v>
      </c>
      <c r="AG29" s="17"/>
      <c r="AH29" s="100">
        <v>4479344.459999999</v>
      </c>
      <c r="AI29" s="100">
        <v>910019.6999999996</v>
      </c>
      <c r="AJ29" s="101">
        <f t="shared" si="1"/>
        <v>0.20315912476175135</v>
      </c>
      <c r="AK29" s="100">
        <v>926919.97000000009</v>
      </c>
      <c r="AL29" s="101">
        <f t="shared" si="2"/>
        <v>0.20693205853608326</v>
      </c>
      <c r="AM29" s="98">
        <v>23</v>
      </c>
      <c r="AN29" s="100">
        <v>68383.33</v>
      </c>
      <c r="AO29" s="155" t="str">
        <f t="shared" si="0"/>
        <v>OK</v>
      </c>
      <c r="AP29" t="s">
        <v>10</v>
      </c>
      <c r="AQ29">
        <v>23</v>
      </c>
      <c r="AR29" s="271">
        <v>68383.33</v>
      </c>
    </row>
    <row r="30" spans="1:44" x14ac:dyDescent="0.35">
      <c r="A30" s="16" t="s">
        <v>11</v>
      </c>
      <c r="B30" s="17">
        <v>2520930</v>
      </c>
      <c r="C30" s="17">
        <v>589095</v>
      </c>
      <c r="D30" s="26">
        <v>0.23368161749830418</v>
      </c>
      <c r="E30" s="17">
        <v>140239</v>
      </c>
      <c r="F30" s="26">
        <v>5.5629866755522762E-2</v>
      </c>
      <c r="G30" s="43"/>
      <c r="H30" s="17"/>
      <c r="I30" s="17"/>
      <c r="J30" s="17">
        <v>2919196</v>
      </c>
      <c r="K30" s="17">
        <v>903643</v>
      </c>
      <c r="L30" s="26">
        <v>0.30955201363663143</v>
      </c>
      <c r="M30" s="17">
        <v>273746</v>
      </c>
      <c r="N30" s="26">
        <v>9.3774450225336023E-2</v>
      </c>
      <c r="O30" s="43"/>
      <c r="P30" s="17"/>
      <c r="Q30" s="17"/>
      <c r="R30" s="17">
        <v>4022972.1199999978</v>
      </c>
      <c r="S30" s="17">
        <v>810672</v>
      </c>
      <c r="T30" s="26">
        <v>0.20151071790176872</v>
      </c>
      <c r="U30" s="17">
        <v>476931</v>
      </c>
      <c r="V30" s="26">
        <v>0.11855190286528763</v>
      </c>
      <c r="W30" s="43">
        <v>1</v>
      </c>
      <c r="X30" s="17">
        <v>1000</v>
      </c>
      <c r="Y30" s="17"/>
      <c r="Z30" s="17">
        <v>3653522.9699999993</v>
      </c>
      <c r="AA30" s="17">
        <v>534032.94999999995</v>
      </c>
      <c r="AB30" s="26">
        <v>0.14616931503786332</v>
      </c>
      <c r="AC30" s="17">
        <v>753908.05000000016</v>
      </c>
      <c r="AD30" s="26">
        <v>0.20635098128314225</v>
      </c>
      <c r="AE30" s="43">
        <v>2</v>
      </c>
      <c r="AF30" s="17">
        <v>150</v>
      </c>
      <c r="AG30" s="17"/>
      <c r="AH30" s="100">
        <v>3721809.3099999959</v>
      </c>
      <c r="AI30" s="100">
        <v>1090494.5899999996</v>
      </c>
      <c r="AJ30" s="101">
        <f t="shared" si="1"/>
        <v>0.29300119892493925</v>
      </c>
      <c r="AK30" s="100">
        <v>688911.83000000007</v>
      </c>
      <c r="AL30" s="101">
        <f t="shared" si="2"/>
        <v>0.18510132374299446</v>
      </c>
      <c r="AM30" s="98">
        <v>1</v>
      </c>
      <c r="AN30" s="100">
        <v>75</v>
      </c>
      <c r="AO30" s="155" t="str">
        <f t="shared" si="0"/>
        <v>OK</v>
      </c>
      <c r="AP30" t="s">
        <v>11</v>
      </c>
      <c r="AQ30">
        <v>1</v>
      </c>
      <c r="AR30" s="271">
        <v>75</v>
      </c>
    </row>
    <row r="31" spans="1:44" x14ac:dyDescent="0.35">
      <c r="A31" s="16" t="s">
        <v>12</v>
      </c>
      <c r="B31" s="17">
        <v>3660512</v>
      </c>
      <c r="C31" s="17">
        <v>353010</v>
      </c>
      <c r="D31" s="26">
        <v>9.643732898567195E-2</v>
      </c>
      <c r="E31" s="17">
        <v>84550</v>
      </c>
      <c r="F31" s="26">
        <v>2.3097861719890551E-2</v>
      </c>
      <c r="G31" s="43">
        <v>58</v>
      </c>
      <c r="H31" s="17">
        <v>109800</v>
      </c>
      <c r="I31" s="17"/>
      <c r="J31" s="17">
        <v>4212459</v>
      </c>
      <c r="K31" s="17">
        <v>291944</v>
      </c>
      <c r="L31" s="26">
        <v>6.9304888190009684E-2</v>
      </c>
      <c r="M31" s="17">
        <v>162624</v>
      </c>
      <c r="N31" s="26">
        <v>3.8605479602294053E-2</v>
      </c>
      <c r="O31" s="43">
        <v>49</v>
      </c>
      <c r="P31" s="17">
        <v>56742</v>
      </c>
      <c r="Q31" s="17"/>
      <c r="R31" s="17">
        <v>4086909.9299999881</v>
      </c>
      <c r="S31" s="17">
        <v>397624</v>
      </c>
      <c r="T31" s="26">
        <v>9.7292087863556406E-2</v>
      </c>
      <c r="U31" s="17">
        <v>281639</v>
      </c>
      <c r="V31" s="26">
        <v>6.8912455822093641E-2</v>
      </c>
      <c r="W31" s="43">
        <v>6</v>
      </c>
      <c r="X31" s="17">
        <v>56950</v>
      </c>
      <c r="Y31" s="17"/>
      <c r="Z31" s="17">
        <v>4038396.7599999886</v>
      </c>
      <c r="AA31" s="17">
        <v>351090.56000000006</v>
      </c>
      <c r="AB31" s="26">
        <v>8.6938104615555664E-2</v>
      </c>
      <c r="AC31" s="17">
        <v>399728.64999999997</v>
      </c>
      <c r="AD31" s="26">
        <v>9.8982015328281187E-2</v>
      </c>
      <c r="AE31" s="43">
        <v>4</v>
      </c>
      <c r="AF31" s="17">
        <v>30000</v>
      </c>
      <c r="AG31" s="17"/>
      <c r="AH31" s="100">
        <v>5008461.9100000169</v>
      </c>
      <c r="AI31" s="100">
        <v>729654.50999999908</v>
      </c>
      <c r="AJ31" s="101">
        <f t="shared" si="1"/>
        <v>0.14568434843103292</v>
      </c>
      <c r="AK31" s="100">
        <v>488495.19999999995</v>
      </c>
      <c r="AL31" s="101">
        <f t="shared" si="2"/>
        <v>9.7533975255888153E-2</v>
      </c>
      <c r="AM31" s="98">
        <v>8</v>
      </c>
      <c r="AN31" s="100">
        <v>55664</v>
      </c>
      <c r="AO31" s="155" t="str">
        <f t="shared" si="0"/>
        <v>OK</v>
      </c>
      <c r="AP31" t="s">
        <v>12</v>
      </c>
      <c r="AQ31">
        <v>8</v>
      </c>
      <c r="AR31" s="271">
        <v>55664</v>
      </c>
    </row>
    <row r="32" spans="1:44" x14ac:dyDescent="0.35">
      <c r="A32" s="16" t="s">
        <v>13</v>
      </c>
      <c r="B32" s="17">
        <v>436763</v>
      </c>
      <c r="C32" s="17">
        <v>32078</v>
      </c>
      <c r="D32" s="26">
        <v>7.344486597994794E-2</v>
      </c>
      <c r="E32" s="17">
        <v>309616</v>
      </c>
      <c r="F32" s="26">
        <v>0.70888788656548285</v>
      </c>
      <c r="G32" s="43"/>
      <c r="H32" s="17"/>
      <c r="I32" s="17"/>
      <c r="J32" s="17">
        <v>876148</v>
      </c>
      <c r="K32" s="17">
        <v>136198</v>
      </c>
      <c r="L32" s="26">
        <v>0.15545090555476929</v>
      </c>
      <c r="M32" s="17">
        <v>429817</v>
      </c>
      <c r="N32" s="26">
        <v>0.49057579313084093</v>
      </c>
      <c r="O32" s="43"/>
      <c r="P32" s="17"/>
      <c r="Q32" s="17"/>
      <c r="R32" s="17">
        <v>913164.5</v>
      </c>
      <c r="S32" s="17">
        <v>73931</v>
      </c>
      <c r="T32" s="26">
        <v>8.0961316389325258E-2</v>
      </c>
      <c r="U32" s="17">
        <v>396426</v>
      </c>
      <c r="V32" s="26">
        <v>0.43412331513106345</v>
      </c>
      <c r="W32" s="43"/>
      <c r="X32" s="17"/>
      <c r="Y32" s="17"/>
      <c r="Z32" s="17">
        <v>913781.95999999973</v>
      </c>
      <c r="AA32" s="17">
        <v>35000</v>
      </c>
      <c r="AB32" s="26">
        <v>3.8302353878818106E-2</v>
      </c>
      <c r="AC32" s="17">
        <v>499953</v>
      </c>
      <c r="AD32" s="26">
        <v>0.54712504939362139</v>
      </c>
      <c r="AE32" s="43"/>
      <c r="AF32" s="17"/>
      <c r="AG32" s="17"/>
      <c r="AH32" s="100">
        <v>827890.82999999984</v>
      </c>
      <c r="AI32" s="100">
        <v>29935.08</v>
      </c>
      <c r="AJ32" s="101">
        <f t="shared" si="1"/>
        <v>3.6158245646953246E-2</v>
      </c>
      <c r="AK32" s="100">
        <v>403895.22</v>
      </c>
      <c r="AL32" s="101">
        <f t="shared" si="2"/>
        <v>0.48786048276437616</v>
      </c>
      <c r="AM32" s="98"/>
      <c r="AN32" s="100"/>
      <c r="AO32" s="155" t="str">
        <f t="shared" si="0"/>
        <v>OK</v>
      </c>
      <c r="AP32" t="s">
        <v>13</v>
      </c>
    </row>
    <row r="33" spans="1:44" x14ac:dyDescent="0.35">
      <c r="A33" s="16" t="s">
        <v>343</v>
      </c>
      <c r="B33" s="17">
        <v>9916531</v>
      </c>
      <c r="C33" s="17">
        <v>528814</v>
      </c>
      <c r="D33" s="26">
        <v>5.3326511055126029E-2</v>
      </c>
      <c r="E33" s="17">
        <v>483943</v>
      </c>
      <c r="F33" s="26">
        <v>4.8801642429192223E-2</v>
      </c>
      <c r="G33" s="43">
        <v>7</v>
      </c>
      <c r="H33" s="17">
        <v>21315</v>
      </c>
      <c r="I33" s="17"/>
      <c r="J33" s="17">
        <v>10357949</v>
      </c>
      <c r="K33" s="17">
        <v>1045889</v>
      </c>
      <c r="L33" s="26">
        <v>0.10097452690682296</v>
      </c>
      <c r="M33" s="17">
        <v>332093</v>
      </c>
      <c r="N33" s="26">
        <v>3.2061656221709527E-2</v>
      </c>
      <c r="O33" s="43">
        <v>3</v>
      </c>
      <c r="P33" s="17">
        <v>17000</v>
      </c>
      <c r="Q33" s="17"/>
      <c r="R33" s="17">
        <v>11300274.329999998</v>
      </c>
      <c r="S33" s="17">
        <v>716540</v>
      </c>
      <c r="T33" s="26">
        <v>6.3409080087350425E-2</v>
      </c>
      <c r="U33" s="17">
        <v>438219</v>
      </c>
      <c r="V33" s="26">
        <v>3.8779501028272829E-2</v>
      </c>
      <c r="W33" s="43">
        <v>7</v>
      </c>
      <c r="X33" s="17">
        <v>4061</v>
      </c>
      <c r="Y33" s="17"/>
      <c r="Z33" s="17">
        <v>10649779.299999999</v>
      </c>
      <c r="AA33" s="17">
        <v>1013299.0599999999</v>
      </c>
      <c r="AB33" s="26">
        <v>9.5147423383693974E-2</v>
      </c>
      <c r="AC33" s="17">
        <v>390616</v>
      </c>
      <c r="AD33" s="26">
        <v>3.6678318770418092E-2</v>
      </c>
      <c r="AE33" s="43">
        <v>3</v>
      </c>
      <c r="AF33" s="17">
        <v>14000</v>
      </c>
      <c r="AG33" s="17"/>
      <c r="AH33" s="100">
        <v>10640237.799999997</v>
      </c>
      <c r="AI33" s="100">
        <v>989697.35999999987</v>
      </c>
      <c r="AJ33" s="101">
        <f t="shared" si="1"/>
        <v>9.3014590331806327E-2</v>
      </c>
      <c r="AK33" s="100">
        <v>444098</v>
      </c>
      <c r="AL33" s="101">
        <f t="shared" si="2"/>
        <v>4.1737601014894619E-2</v>
      </c>
      <c r="AM33" s="98">
        <v>4</v>
      </c>
      <c r="AN33" s="100">
        <v>40000</v>
      </c>
      <c r="AO33" s="155" t="str">
        <f t="shared" si="0"/>
        <v>OK</v>
      </c>
      <c r="AP33" t="s">
        <v>343</v>
      </c>
      <c r="AQ33">
        <v>4</v>
      </c>
      <c r="AR33" s="271">
        <v>40000</v>
      </c>
    </row>
    <row r="34" spans="1:44" x14ac:dyDescent="0.35">
      <c r="A34" s="16" t="s">
        <v>14</v>
      </c>
      <c r="B34" s="17">
        <v>5009138</v>
      </c>
      <c r="C34" s="17">
        <v>240073</v>
      </c>
      <c r="D34" s="26">
        <v>4.792700859908431E-2</v>
      </c>
      <c r="E34" s="17">
        <v>343117</v>
      </c>
      <c r="F34" s="26">
        <v>6.8498212666530653E-2</v>
      </c>
      <c r="G34" s="43">
        <v>11</v>
      </c>
      <c r="H34" s="17">
        <v>76509</v>
      </c>
      <c r="I34" s="17"/>
      <c r="J34" s="17">
        <v>3244094</v>
      </c>
      <c r="K34" s="17">
        <v>93339</v>
      </c>
      <c r="L34" s="26">
        <v>2.8771977630734497E-2</v>
      </c>
      <c r="M34" s="17">
        <v>390143</v>
      </c>
      <c r="N34" s="26">
        <v>0.12026254479679072</v>
      </c>
      <c r="O34" s="43">
        <v>11</v>
      </c>
      <c r="P34" s="17">
        <v>59261</v>
      </c>
      <c r="Q34" s="17"/>
      <c r="R34" s="17">
        <v>3022017.8499999978</v>
      </c>
      <c r="S34" s="17">
        <v>118466</v>
      </c>
      <c r="T34" s="26">
        <v>3.9200959716369672E-2</v>
      </c>
      <c r="U34" s="17">
        <v>258266</v>
      </c>
      <c r="V34" s="26">
        <v>8.5461440937551106E-2</v>
      </c>
      <c r="W34" s="43">
        <v>3</v>
      </c>
      <c r="X34" s="17">
        <v>18758</v>
      </c>
      <c r="Y34" s="17"/>
      <c r="Z34" s="17">
        <v>2987987.8299999987</v>
      </c>
      <c r="AA34" s="17">
        <v>214428.6</v>
      </c>
      <c r="AB34" s="26">
        <v>7.1763545301990098E-2</v>
      </c>
      <c r="AC34" s="17">
        <v>230085.6</v>
      </c>
      <c r="AD34" s="26">
        <v>7.7003526483573434E-2</v>
      </c>
      <c r="AE34" s="43">
        <v>2</v>
      </c>
      <c r="AF34" s="17">
        <v>14572.75</v>
      </c>
      <c r="AG34" s="17"/>
      <c r="AH34" s="100">
        <v>3200660.339999998</v>
      </c>
      <c r="AI34" s="100">
        <v>91406.14</v>
      </c>
      <c r="AJ34" s="101">
        <f t="shared" si="1"/>
        <v>2.855852551976823E-2</v>
      </c>
      <c r="AK34" s="100">
        <v>241700</v>
      </c>
      <c r="AL34" s="101">
        <f t="shared" si="2"/>
        <v>7.5515666870168474E-2</v>
      </c>
      <c r="AM34" s="98"/>
      <c r="AN34" s="100"/>
      <c r="AO34" s="155" t="str">
        <f t="shared" si="0"/>
        <v>OK</v>
      </c>
      <c r="AP34" t="s">
        <v>14</v>
      </c>
    </row>
    <row r="35" spans="1:44" x14ac:dyDescent="0.35">
      <c r="A35" s="16" t="s">
        <v>15</v>
      </c>
      <c r="B35" s="17">
        <v>9992855</v>
      </c>
      <c r="C35" s="17">
        <v>2091402</v>
      </c>
      <c r="D35" s="26">
        <v>0.20928973751745622</v>
      </c>
      <c r="E35" s="17">
        <v>1598036</v>
      </c>
      <c r="F35" s="26">
        <v>0.15991786131190736</v>
      </c>
      <c r="G35" s="43">
        <v>89</v>
      </c>
      <c r="H35" s="17">
        <v>232427</v>
      </c>
      <c r="I35" s="17"/>
      <c r="J35" s="17">
        <v>10941388</v>
      </c>
      <c r="K35" s="17">
        <v>1219731</v>
      </c>
      <c r="L35" s="26">
        <v>0.11147863506896931</v>
      </c>
      <c r="M35" s="17">
        <v>1483034</v>
      </c>
      <c r="N35" s="26">
        <v>0.1355434977719463</v>
      </c>
      <c r="O35" s="43">
        <v>105</v>
      </c>
      <c r="P35" s="17">
        <v>305335</v>
      </c>
      <c r="Q35" s="17"/>
      <c r="R35" s="17">
        <v>10500226.629999992</v>
      </c>
      <c r="S35" s="17">
        <v>1358340</v>
      </c>
      <c r="T35" s="26">
        <v>0.12936292214104345</v>
      </c>
      <c r="U35" s="17">
        <v>1592630</v>
      </c>
      <c r="V35" s="26">
        <v>0.15167577387803499</v>
      </c>
      <c r="W35" s="43">
        <v>85</v>
      </c>
      <c r="X35" s="17">
        <v>268984</v>
      </c>
      <c r="Y35" s="17"/>
      <c r="Z35" s="17">
        <v>10135123.160000009</v>
      </c>
      <c r="AA35" s="17">
        <v>1080551.3099999996</v>
      </c>
      <c r="AB35" s="26">
        <v>0.10661452189003282</v>
      </c>
      <c r="AC35" s="17">
        <v>1646105.0999999999</v>
      </c>
      <c r="AD35" s="26">
        <v>0.16241589510195931</v>
      </c>
      <c r="AE35" s="43">
        <v>21</v>
      </c>
      <c r="AF35" s="17">
        <v>73500</v>
      </c>
      <c r="AG35" s="17"/>
      <c r="AH35" s="100">
        <v>10162792.160000019</v>
      </c>
      <c r="AI35" s="100">
        <v>1566032.4199999985</v>
      </c>
      <c r="AJ35" s="101">
        <f t="shared" si="1"/>
        <v>0.15409470107671627</v>
      </c>
      <c r="AK35" s="100">
        <v>1481133.9999999998</v>
      </c>
      <c r="AL35" s="101">
        <f t="shared" si="2"/>
        <v>0.14574085317120142</v>
      </c>
      <c r="AM35" s="98">
        <v>138</v>
      </c>
      <c r="AN35" s="100">
        <v>291507</v>
      </c>
      <c r="AO35" s="155" t="str">
        <f t="shared" si="0"/>
        <v>OK</v>
      </c>
      <c r="AP35" t="s">
        <v>15</v>
      </c>
      <c r="AQ35">
        <v>138</v>
      </c>
      <c r="AR35" s="271">
        <v>291507</v>
      </c>
    </row>
    <row r="36" spans="1:44" x14ac:dyDescent="0.35">
      <c r="A36" s="16" t="s">
        <v>16</v>
      </c>
      <c r="B36" s="17">
        <v>8172087</v>
      </c>
      <c r="C36" s="17">
        <v>417695</v>
      </c>
      <c r="D36" s="26">
        <v>5.111240249889655E-2</v>
      </c>
      <c r="E36" s="17">
        <v>490185</v>
      </c>
      <c r="F36" s="26">
        <v>5.9982841592361905E-2</v>
      </c>
      <c r="G36" s="43">
        <v>1</v>
      </c>
      <c r="H36" s="17">
        <v>750</v>
      </c>
      <c r="I36" s="17"/>
      <c r="J36" s="17">
        <v>9525145</v>
      </c>
      <c r="K36" s="17">
        <v>777479</v>
      </c>
      <c r="L36" s="26">
        <v>8.1623849295732506E-2</v>
      </c>
      <c r="M36" s="17">
        <v>597764</v>
      </c>
      <c r="N36" s="26">
        <v>6.2756419981008157E-2</v>
      </c>
      <c r="O36" s="43"/>
      <c r="P36" s="17"/>
      <c r="Q36" s="17"/>
      <c r="R36" s="17">
        <v>10286931</v>
      </c>
      <c r="S36" s="17">
        <v>986779</v>
      </c>
      <c r="T36" s="26">
        <v>9.592550003494725E-2</v>
      </c>
      <c r="U36" s="17">
        <v>704604</v>
      </c>
      <c r="V36" s="26">
        <v>6.8495064271355571E-2</v>
      </c>
      <c r="W36" s="43"/>
      <c r="X36" s="17"/>
      <c r="Y36" s="17"/>
      <c r="Z36" s="17">
        <v>10307286.660000004</v>
      </c>
      <c r="AA36" s="17">
        <v>624941.49</v>
      </c>
      <c r="AB36" s="26">
        <v>6.0631038081558487E-2</v>
      </c>
      <c r="AC36" s="17">
        <v>732559.97999999975</v>
      </c>
      <c r="AD36" s="26">
        <v>7.10720487519651E-2</v>
      </c>
      <c r="AE36" s="43"/>
      <c r="AF36" s="17"/>
      <c r="AG36" s="17"/>
      <c r="AH36" s="100">
        <v>9825019.0900000054</v>
      </c>
      <c r="AI36" s="100">
        <v>680208.10999999964</v>
      </c>
      <c r="AJ36" s="101">
        <f t="shared" si="1"/>
        <v>6.9232243089717926E-2</v>
      </c>
      <c r="AK36" s="100">
        <v>642339.08000000007</v>
      </c>
      <c r="AL36" s="101">
        <f t="shared" si="2"/>
        <v>6.5377896380250156E-2</v>
      </c>
      <c r="AM36" s="98"/>
      <c r="AN36" s="100"/>
      <c r="AO36" s="155" t="str">
        <f t="shared" si="0"/>
        <v>OK</v>
      </c>
      <c r="AP36" t="s">
        <v>16</v>
      </c>
    </row>
    <row r="37" spans="1:44" x14ac:dyDescent="0.35">
      <c r="A37" s="16" t="s">
        <v>344</v>
      </c>
      <c r="B37" s="17"/>
      <c r="C37" s="17"/>
      <c r="D37" s="26"/>
      <c r="E37" s="17"/>
      <c r="F37" s="26"/>
      <c r="G37" s="43"/>
      <c r="H37" s="17"/>
      <c r="I37" s="17"/>
      <c r="J37" s="17"/>
      <c r="K37" s="17"/>
      <c r="L37" s="26"/>
      <c r="M37" s="17"/>
      <c r="N37" s="26"/>
      <c r="O37" s="43"/>
      <c r="P37" s="17"/>
      <c r="Q37" s="17"/>
      <c r="R37" s="17"/>
      <c r="S37" s="17"/>
      <c r="T37" s="26"/>
      <c r="U37" s="17"/>
      <c r="V37" s="26"/>
      <c r="W37" s="43"/>
      <c r="X37" s="17"/>
      <c r="Y37" s="17"/>
      <c r="Z37" s="17"/>
      <c r="AA37" s="17"/>
      <c r="AB37" s="26"/>
      <c r="AC37" s="17"/>
      <c r="AD37" s="26"/>
      <c r="AE37" s="43"/>
      <c r="AF37" s="17"/>
      <c r="AG37" s="17"/>
      <c r="AH37" s="100"/>
      <c r="AI37" s="100"/>
      <c r="AJ37" s="101"/>
      <c r="AK37" s="100"/>
      <c r="AL37" s="101"/>
      <c r="AM37" s="98"/>
      <c r="AN37" s="100"/>
      <c r="AO37" s="155" t="str">
        <f t="shared" si="0"/>
        <v>OK</v>
      </c>
      <c r="AP37" t="s">
        <v>344</v>
      </c>
    </row>
    <row r="38" spans="1:44" x14ac:dyDescent="0.35">
      <c r="A38" s="16" t="s">
        <v>17</v>
      </c>
      <c r="B38" s="17">
        <v>566573</v>
      </c>
      <c r="C38" s="17">
        <v>102150</v>
      </c>
      <c r="D38" s="26">
        <v>0.1802945075038874</v>
      </c>
      <c r="E38" s="17">
        <v>79550</v>
      </c>
      <c r="F38" s="26">
        <v>0.14040556115452024</v>
      </c>
      <c r="G38" s="43"/>
      <c r="H38" s="17"/>
      <c r="I38" s="17"/>
      <c r="J38" s="17">
        <v>624155</v>
      </c>
      <c r="K38" s="17">
        <v>50779</v>
      </c>
      <c r="L38" s="26">
        <v>8.1356393844477737E-2</v>
      </c>
      <c r="M38" s="17">
        <v>58890</v>
      </c>
      <c r="N38" s="26">
        <v>9.4351563313599993E-2</v>
      </c>
      <c r="O38" s="43"/>
      <c r="P38" s="17"/>
      <c r="Q38" s="17"/>
      <c r="R38" s="17">
        <v>659787.46</v>
      </c>
      <c r="S38" s="17">
        <v>44509</v>
      </c>
      <c r="T38" s="26">
        <v>6.7459602824218576E-2</v>
      </c>
      <c r="U38" s="17">
        <v>76350</v>
      </c>
      <c r="V38" s="26">
        <v>0.11571908323325818</v>
      </c>
      <c r="W38" s="43"/>
      <c r="X38" s="17"/>
      <c r="Y38" s="17"/>
      <c r="Z38" s="17">
        <v>798985.34</v>
      </c>
      <c r="AA38" s="17">
        <v>40256</v>
      </c>
      <c r="AB38" s="26">
        <v>5.0383903163980455E-2</v>
      </c>
      <c r="AC38" s="17">
        <v>18515</v>
      </c>
      <c r="AD38" s="26">
        <v>2.3173141074152876E-2</v>
      </c>
      <c r="AE38" s="43"/>
      <c r="AF38" s="17"/>
      <c r="AG38" s="17"/>
      <c r="AH38" s="100">
        <v>678734.67999999982</v>
      </c>
      <c r="AI38" s="100">
        <v>49064.67</v>
      </c>
      <c r="AJ38" s="101">
        <f>AI38/AH38</f>
        <v>7.2288438245118131E-2</v>
      </c>
      <c r="AK38" s="100">
        <v>14674</v>
      </c>
      <c r="AL38" s="101">
        <f>AK38/AH38</f>
        <v>2.1619640829314932E-2</v>
      </c>
      <c r="AM38" s="98">
        <v>1</v>
      </c>
      <c r="AN38" s="100">
        <v>2000</v>
      </c>
      <c r="AO38" s="155" t="str">
        <f t="shared" si="0"/>
        <v>OK</v>
      </c>
      <c r="AP38" t="s">
        <v>17</v>
      </c>
      <c r="AQ38">
        <v>1</v>
      </c>
      <c r="AR38" s="271">
        <v>2000</v>
      </c>
    </row>
    <row r="39" spans="1:44" x14ac:dyDescent="0.35">
      <c r="A39" s="16" t="s">
        <v>358</v>
      </c>
      <c r="B39" s="17">
        <v>180434</v>
      </c>
      <c r="C39" s="17">
        <v>500</v>
      </c>
      <c r="D39" s="26">
        <v>2.7710963565625102E-3</v>
      </c>
      <c r="E39" s="17">
        <v>171384</v>
      </c>
      <c r="F39" s="26">
        <v>0.9498431559462186</v>
      </c>
      <c r="G39" s="43">
        <v>1</v>
      </c>
      <c r="H39" s="17">
        <v>150</v>
      </c>
      <c r="I39" s="17"/>
      <c r="J39" s="17">
        <v>126464</v>
      </c>
      <c r="K39" s="17">
        <v>1940</v>
      </c>
      <c r="L39" s="26">
        <v>1.5340334008097166E-2</v>
      </c>
      <c r="M39" s="17">
        <v>125360</v>
      </c>
      <c r="N39" s="26">
        <v>0.99127024291497978</v>
      </c>
      <c r="O39" s="43">
        <v>2</v>
      </c>
      <c r="P39" s="17">
        <v>655</v>
      </c>
      <c r="Q39" s="17"/>
      <c r="R39" s="17">
        <v>111543.67999999999</v>
      </c>
      <c r="S39" s="17">
        <v>9450</v>
      </c>
      <c r="T39" s="26">
        <v>8.4720174195436274E-2</v>
      </c>
      <c r="U39" s="17">
        <v>108544</v>
      </c>
      <c r="V39" s="26">
        <v>0.97310757543591897</v>
      </c>
      <c r="W39" s="43">
        <v>1</v>
      </c>
      <c r="X39" s="17">
        <v>3000</v>
      </c>
      <c r="Y39" s="17"/>
      <c r="Z39" s="17">
        <v>153428.32</v>
      </c>
      <c r="AA39" s="17"/>
      <c r="AB39" s="26">
        <v>0</v>
      </c>
      <c r="AC39" s="17">
        <v>151829.32</v>
      </c>
      <c r="AD39" s="26">
        <v>0.98957819521194001</v>
      </c>
      <c r="AE39" s="43"/>
      <c r="AF39" s="17"/>
      <c r="AG39" s="17"/>
      <c r="AH39" s="100">
        <v>62409.69</v>
      </c>
      <c r="AI39" s="100">
        <v>9758.42</v>
      </c>
      <c r="AJ39" s="101">
        <f>AI39/AH39</f>
        <v>0.15636065489189258</v>
      </c>
      <c r="AK39" s="100">
        <v>61209.700000000004</v>
      </c>
      <c r="AL39" s="101">
        <f>AK39/AH39</f>
        <v>0.98077237685365848</v>
      </c>
      <c r="AM39" s="98">
        <v>1</v>
      </c>
      <c r="AN39" s="100">
        <v>199.99</v>
      </c>
      <c r="AO39" s="155" t="str">
        <f t="shared" si="0"/>
        <v>OK</v>
      </c>
      <c r="AP39" t="s">
        <v>358</v>
      </c>
      <c r="AQ39">
        <v>1</v>
      </c>
      <c r="AR39" s="271">
        <v>199.99</v>
      </c>
    </row>
    <row r="40" spans="1:44" x14ac:dyDescent="0.35">
      <c r="A40" s="16" t="s">
        <v>25</v>
      </c>
      <c r="B40" s="17"/>
      <c r="C40" s="17"/>
      <c r="D40" s="26"/>
      <c r="E40" s="17"/>
      <c r="F40" s="26"/>
      <c r="G40" s="43"/>
      <c r="H40" s="17"/>
      <c r="I40" s="17"/>
      <c r="J40" s="17"/>
      <c r="K40" s="17"/>
      <c r="L40" s="26"/>
      <c r="M40" s="17"/>
      <c r="N40" s="26"/>
      <c r="O40" s="43"/>
      <c r="P40" s="17"/>
      <c r="Q40" s="17"/>
      <c r="R40" s="17"/>
      <c r="S40" s="17"/>
      <c r="T40" s="26"/>
      <c r="U40" s="17"/>
      <c r="V40" s="26"/>
      <c r="W40" s="43"/>
      <c r="X40" s="17"/>
      <c r="Y40" s="17"/>
      <c r="Z40" s="17"/>
      <c r="AA40" s="17"/>
      <c r="AB40" s="26"/>
      <c r="AC40" s="17"/>
      <c r="AD40" s="26"/>
      <c r="AE40" s="43"/>
      <c r="AF40" s="17"/>
      <c r="AG40" s="17"/>
      <c r="AH40" s="100"/>
      <c r="AI40" s="100"/>
      <c r="AJ40" s="101"/>
      <c r="AK40" s="100"/>
      <c r="AL40" s="101"/>
      <c r="AM40" s="98"/>
      <c r="AN40" s="100"/>
      <c r="AO40" s="155" t="str">
        <f t="shared" si="0"/>
        <v>OK</v>
      </c>
      <c r="AP40" t="s">
        <v>25</v>
      </c>
    </row>
    <row r="41" spans="1:44" x14ac:dyDescent="0.35">
      <c r="A41" s="16" t="s">
        <v>18</v>
      </c>
      <c r="B41" s="17">
        <v>31724</v>
      </c>
      <c r="C41" s="17">
        <v>4004</v>
      </c>
      <c r="D41" s="26">
        <v>0.12621359223300971</v>
      </c>
      <c r="E41" s="17">
        <v>29224</v>
      </c>
      <c r="F41" s="26">
        <v>0.92119530954482409</v>
      </c>
      <c r="G41" s="43">
        <v>3</v>
      </c>
      <c r="H41" s="17">
        <v>1126</v>
      </c>
      <c r="I41" s="17"/>
      <c r="J41" s="17">
        <v>28550</v>
      </c>
      <c r="K41" s="17">
        <v>1058</v>
      </c>
      <c r="L41" s="26">
        <v>3.7057793345008756E-2</v>
      </c>
      <c r="M41" s="17">
        <v>28550</v>
      </c>
      <c r="N41" s="26">
        <v>1</v>
      </c>
      <c r="O41" s="43">
        <v>2</v>
      </c>
      <c r="P41" s="17">
        <v>777</v>
      </c>
      <c r="Q41" s="17"/>
      <c r="R41" s="17">
        <v>28298.67</v>
      </c>
      <c r="S41" s="17">
        <v>503</v>
      </c>
      <c r="T41" s="26">
        <v>1.7774686937583994E-2</v>
      </c>
      <c r="U41" s="17">
        <v>28049</v>
      </c>
      <c r="V41" s="26">
        <v>0.99117732388129909</v>
      </c>
      <c r="W41" s="43">
        <v>1</v>
      </c>
      <c r="X41" s="17">
        <v>174</v>
      </c>
      <c r="Y41" s="17"/>
      <c r="Z41" s="17">
        <v>27066.870000000003</v>
      </c>
      <c r="AA41" s="17">
        <v>142.38999999999999</v>
      </c>
      <c r="AB41" s="26">
        <v>5.2606747658669054E-3</v>
      </c>
      <c r="AC41" s="17">
        <v>23070.870000000003</v>
      </c>
      <c r="AD41" s="26">
        <v>0.85236564109555335</v>
      </c>
      <c r="AE41" s="43">
        <v>2</v>
      </c>
      <c r="AF41" s="17">
        <v>427.16999999999996</v>
      </c>
      <c r="AG41" s="17"/>
      <c r="AH41" s="100">
        <v>8564.56</v>
      </c>
      <c r="AI41" s="100"/>
      <c r="AJ41" s="101">
        <f>AI41/AH41</f>
        <v>0</v>
      </c>
      <c r="AK41" s="100">
        <v>8314.56</v>
      </c>
      <c r="AL41" s="101">
        <f>AK41/AH41</f>
        <v>0.97080994236715024</v>
      </c>
      <c r="AM41" s="98">
        <v>2</v>
      </c>
      <c r="AN41" s="100">
        <v>819.56</v>
      </c>
      <c r="AO41" s="155" t="str">
        <f t="shared" si="0"/>
        <v>OK</v>
      </c>
      <c r="AP41" t="s">
        <v>18</v>
      </c>
      <c r="AQ41">
        <v>2</v>
      </c>
      <c r="AR41" s="271">
        <v>819.56</v>
      </c>
    </row>
    <row r="42" spans="1:44" x14ac:dyDescent="0.35">
      <c r="A42" s="16" t="s">
        <v>353</v>
      </c>
      <c r="B42" s="17"/>
      <c r="C42" s="17"/>
      <c r="D42" s="26"/>
      <c r="E42" s="17"/>
      <c r="F42" s="26"/>
      <c r="G42" s="43"/>
      <c r="H42" s="17"/>
      <c r="I42" s="17"/>
      <c r="J42" s="17"/>
      <c r="K42" s="17"/>
      <c r="L42" s="26"/>
      <c r="M42" s="17"/>
      <c r="N42" s="26"/>
      <c r="O42" s="43"/>
      <c r="P42" s="17"/>
      <c r="Q42" s="17"/>
      <c r="R42" s="17"/>
      <c r="S42" s="17"/>
      <c r="T42" s="26"/>
      <c r="U42" s="17"/>
      <c r="V42" s="26"/>
      <c r="W42" s="43"/>
      <c r="X42" s="17"/>
      <c r="Y42" s="17"/>
      <c r="Z42" s="17"/>
      <c r="AA42" s="17"/>
      <c r="AB42" s="26"/>
      <c r="AC42" s="17"/>
      <c r="AD42" s="26"/>
      <c r="AE42" s="43"/>
      <c r="AF42" s="17"/>
      <c r="AG42" s="17"/>
      <c r="AH42" s="100"/>
      <c r="AI42" s="100"/>
      <c r="AJ42" s="101"/>
      <c r="AK42" s="100"/>
      <c r="AL42" s="101"/>
      <c r="AM42" s="98"/>
      <c r="AN42" s="100"/>
      <c r="AO42" s="155" t="str">
        <f t="shared" si="0"/>
        <v>No</v>
      </c>
    </row>
    <row r="43" spans="1:44" x14ac:dyDescent="0.35">
      <c r="A43" s="16" t="s">
        <v>354</v>
      </c>
      <c r="B43" s="17"/>
      <c r="C43" s="17"/>
      <c r="D43" s="26"/>
      <c r="E43" s="17"/>
      <c r="F43" s="26"/>
      <c r="G43" s="43"/>
      <c r="H43" s="17"/>
      <c r="I43" s="17"/>
      <c r="J43" s="17"/>
      <c r="K43" s="17"/>
      <c r="L43" s="26"/>
      <c r="M43" s="17"/>
      <c r="N43" s="26"/>
      <c r="O43" s="43"/>
      <c r="P43" s="17"/>
      <c r="Q43" s="17"/>
      <c r="R43" s="17"/>
      <c r="S43" s="17"/>
      <c r="T43" s="26"/>
      <c r="U43" s="17"/>
      <c r="V43" s="26"/>
      <c r="W43" s="43"/>
      <c r="X43" s="17"/>
      <c r="Y43" s="17"/>
      <c r="Z43" s="17"/>
      <c r="AA43" s="17"/>
      <c r="AB43" s="26"/>
      <c r="AC43" s="17"/>
      <c r="AD43" s="26"/>
      <c r="AE43" s="43"/>
      <c r="AF43" s="17"/>
      <c r="AG43" s="17"/>
      <c r="AH43" s="100"/>
      <c r="AI43" s="100"/>
      <c r="AJ43" s="101"/>
      <c r="AK43" s="100"/>
      <c r="AL43" s="101"/>
      <c r="AM43" s="98"/>
      <c r="AN43" s="100"/>
      <c r="AO43" s="155" t="str">
        <f t="shared" si="0"/>
        <v>No</v>
      </c>
    </row>
    <row r="44" spans="1:44" x14ac:dyDescent="0.35">
      <c r="A44" s="16" t="s">
        <v>409</v>
      </c>
      <c r="B44" s="17">
        <v>877</v>
      </c>
      <c r="C44" s="17">
        <v>376</v>
      </c>
      <c r="D44" s="26">
        <v>0.42873432155074115</v>
      </c>
      <c r="E44" s="17">
        <v>877</v>
      </c>
      <c r="F44" s="26">
        <v>1</v>
      </c>
      <c r="G44" s="43">
        <v>1</v>
      </c>
      <c r="H44" s="17">
        <v>1754</v>
      </c>
      <c r="I44" s="17"/>
      <c r="J44" s="17">
        <v>24170</v>
      </c>
      <c r="K44" s="17"/>
      <c r="L44" s="26"/>
      <c r="M44" s="17"/>
      <c r="N44" s="26">
        <v>0</v>
      </c>
      <c r="O44" s="43">
        <v>2</v>
      </c>
      <c r="P44" s="17">
        <v>24170</v>
      </c>
      <c r="Q44" s="17"/>
      <c r="R44" s="17">
        <v>5270.75</v>
      </c>
      <c r="S44" s="17"/>
      <c r="T44" s="26"/>
      <c r="U44" s="17">
        <v>5271</v>
      </c>
      <c r="V44" s="26">
        <v>1.0000474315799459</v>
      </c>
      <c r="W44" s="43"/>
      <c r="X44" s="17"/>
      <c r="Y44" s="17"/>
      <c r="Z44" s="17"/>
      <c r="AA44" s="17"/>
      <c r="AB44" s="26"/>
      <c r="AC44" s="17"/>
      <c r="AD44" s="26"/>
      <c r="AE44" s="43"/>
      <c r="AF44" s="17"/>
      <c r="AG44" s="17"/>
      <c r="AH44" s="100"/>
      <c r="AI44" s="100"/>
      <c r="AJ44" s="101"/>
      <c r="AK44" s="100"/>
      <c r="AL44" s="101"/>
      <c r="AM44" s="98"/>
      <c r="AN44" s="100"/>
      <c r="AO44" s="155" t="str">
        <f t="shared" si="0"/>
        <v>OK</v>
      </c>
      <c r="AP44" t="s">
        <v>409</v>
      </c>
    </row>
    <row r="45" spans="1:44" x14ac:dyDescent="0.35">
      <c r="A45" s="16" t="s">
        <v>28</v>
      </c>
      <c r="B45" s="17"/>
      <c r="C45" s="17"/>
      <c r="D45" s="26"/>
      <c r="E45" s="17"/>
      <c r="F45" s="26"/>
      <c r="G45" s="43"/>
      <c r="H45" s="17"/>
      <c r="I45" s="17"/>
      <c r="J45" s="17"/>
      <c r="K45" s="17"/>
      <c r="L45" s="26"/>
      <c r="M45" s="17"/>
      <c r="N45" s="26"/>
      <c r="O45" s="43"/>
      <c r="P45" s="17"/>
      <c r="Q45" s="17"/>
      <c r="R45" s="17"/>
      <c r="S45" s="17"/>
      <c r="T45" s="26"/>
      <c r="U45" s="17"/>
      <c r="V45" s="26"/>
      <c r="W45" s="43"/>
      <c r="X45" s="17"/>
      <c r="Y45" s="17"/>
      <c r="Z45" s="17"/>
      <c r="AA45" s="17"/>
      <c r="AB45" s="26"/>
      <c r="AC45" s="17"/>
      <c r="AD45" s="26"/>
      <c r="AE45" s="43"/>
      <c r="AF45" s="17"/>
      <c r="AG45" s="17"/>
      <c r="AH45" s="100"/>
      <c r="AI45" s="100"/>
      <c r="AJ45" s="101"/>
      <c r="AK45" s="100"/>
      <c r="AL45" s="101"/>
      <c r="AM45" s="98"/>
      <c r="AN45" s="100"/>
      <c r="AO45" s="155" t="str">
        <f t="shared" si="0"/>
        <v>OK</v>
      </c>
      <c r="AP45" t="s">
        <v>28</v>
      </c>
    </row>
    <row r="46" spans="1:44" x14ac:dyDescent="0.35">
      <c r="A46" s="16" t="s">
        <v>29</v>
      </c>
      <c r="B46" s="17"/>
      <c r="C46" s="17"/>
      <c r="D46" s="26"/>
      <c r="E46" s="17"/>
      <c r="F46" s="26"/>
      <c r="G46" s="43"/>
      <c r="H46" s="17"/>
      <c r="I46" s="17"/>
      <c r="J46" s="17"/>
      <c r="K46" s="17"/>
      <c r="L46" s="26"/>
      <c r="M46" s="17"/>
      <c r="N46" s="26"/>
      <c r="O46" s="43"/>
      <c r="P46" s="17"/>
      <c r="Q46" s="17"/>
      <c r="R46" s="17"/>
      <c r="S46" s="17"/>
      <c r="T46" s="26"/>
      <c r="U46" s="17"/>
      <c r="V46" s="26"/>
      <c r="W46" s="43"/>
      <c r="X46" s="17"/>
      <c r="Y46" s="17"/>
      <c r="Z46" s="17"/>
      <c r="AA46" s="17"/>
      <c r="AB46" s="26"/>
      <c r="AC46" s="17"/>
      <c r="AD46" s="26"/>
      <c r="AE46" s="43"/>
      <c r="AF46" s="17"/>
      <c r="AG46" s="17"/>
      <c r="AH46" s="100"/>
      <c r="AI46" s="100"/>
      <c r="AJ46" s="101"/>
      <c r="AK46" s="100"/>
      <c r="AL46" s="101"/>
      <c r="AM46" s="98"/>
      <c r="AN46" s="100"/>
      <c r="AO46" s="155" t="str">
        <f t="shared" si="0"/>
        <v>OK</v>
      </c>
      <c r="AP46" t="s">
        <v>29</v>
      </c>
    </row>
    <row r="47" spans="1:44" x14ac:dyDescent="0.35">
      <c r="A47" s="16" t="s">
        <v>359</v>
      </c>
      <c r="B47" s="17"/>
      <c r="C47" s="17"/>
      <c r="D47" s="26"/>
      <c r="E47" s="17"/>
      <c r="F47" s="26"/>
      <c r="G47" s="43"/>
      <c r="H47" s="17"/>
      <c r="I47" s="17"/>
      <c r="J47" s="17"/>
      <c r="K47" s="17"/>
      <c r="L47" s="26"/>
      <c r="M47" s="17"/>
      <c r="N47" s="26"/>
      <c r="O47" s="43"/>
      <c r="P47" s="17"/>
      <c r="Q47" s="17"/>
      <c r="R47" s="17"/>
      <c r="S47" s="17"/>
      <c r="T47" s="26"/>
      <c r="U47" s="17"/>
      <c r="V47" s="26"/>
      <c r="W47" s="43"/>
      <c r="X47" s="17"/>
      <c r="Y47" s="17"/>
      <c r="Z47" s="17"/>
      <c r="AA47" s="17"/>
      <c r="AB47" s="26"/>
      <c r="AC47" s="17"/>
      <c r="AD47" s="26"/>
      <c r="AE47" s="43"/>
      <c r="AF47" s="17"/>
      <c r="AG47" s="17"/>
      <c r="AH47" s="100"/>
      <c r="AI47" s="100"/>
      <c r="AJ47" s="101"/>
      <c r="AK47" s="100"/>
      <c r="AL47" s="101"/>
      <c r="AM47" s="98"/>
      <c r="AN47" s="100"/>
      <c r="AO47" s="155" t="str">
        <f t="shared" si="0"/>
        <v>OK</v>
      </c>
      <c r="AP47" t="s">
        <v>359</v>
      </c>
    </row>
    <row r="48" spans="1:44" x14ac:dyDescent="0.35">
      <c r="A48" s="16" t="s">
        <v>30</v>
      </c>
      <c r="B48" s="17"/>
      <c r="C48" s="17"/>
      <c r="D48" s="26"/>
      <c r="E48" s="17"/>
      <c r="F48" s="26"/>
      <c r="G48" s="43"/>
      <c r="H48" s="17"/>
      <c r="I48" s="17"/>
      <c r="J48" s="17"/>
      <c r="K48" s="17"/>
      <c r="L48" s="26"/>
      <c r="M48" s="17"/>
      <c r="N48" s="26"/>
      <c r="O48" s="43"/>
      <c r="P48" s="17"/>
      <c r="Q48" s="17"/>
      <c r="R48" s="17">
        <v>7000</v>
      </c>
      <c r="S48" s="17">
        <v>7000</v>
      </c>
      <c r="T48" s="26">
        <v>1</v>
      </c>
      <c r="U48" s="17"/>
      <c r="V48" s="26">
        <v>0</v>
      </c>
      <c r="W48" s="43">
        <v>2</v>
      </c>
      <c r="X48" s="17">
        <v>7000</v>
      </c>
      <c r="Y48" s="17"/>
      <c r="Z48" s="17"/>
      <c r="AA48" s="17"/>
      <c r="AB48" s="26"/>
      <c r="AC48" s="17"/>
      <c r="AD48" s="26"/>
      <c r="AE48" s="43"/>
      <c r="AF48" s="17"/>
      <c r="AG48" s="17"/>
      <c r="AH48" s="100">
        <v>5000</v>
      </c>
      <c r="AI48" s="100"/>
      <c r="AJ48" s="101">
        <f>AI48/AH48</f>
        <v>0</v>
      </c>
      <c r="AK48" s="100"/>
      <c r="AL48" s="101"/>
      <c r="AM48" s="98">
        <v>1</v>
      </c>
      <c r="AN48" s="100">
        <v>5000</v>
      </c>
      <c r="AO48" s="155" t="str">
        <f t="shared" si="0"/>
        <v>OK</v>
      </c>
      <c r="AP48" t="s">
        <v>30</v>
      </c>
      <c r="AQ48">
        <v>1</v>
      </c>
      <c r="AR48" s="271">
        <v>5000</v>
      </c>
    </row>
    <row r="49" spans="1:44" x14ac:dyDescent="0.35">
      <c r="A49" s="16" t="s">
        <v>31</v>
      </c>
      <c r="B49" s="17"/>
      <c r="C49" s="17"/>
      <c r="D49" s="26"/>
      <c r="E49" s="17"/>
      <c r="F49" s="26"/>
      <c r="G49" s="43"/>
      <c r="H49" s="17"/>
      <c r="I49" s="17"/>
      <c r="J49" s="17"/>
      <c r="K49" s="17"/>
      <c r="L49" s="26"/>
      <c r="M49" s="17"/>
      <c r="N49" s="26"/>
      <c r="O49" s="43"/>
      <c r="P49" s="17"/>
      <c r="Q49" s="17"/>
      <c r="R49" s="17"/>
      <c r="S49" s="17"/>
      <c r="T49" s="26"/>
      <c r="U49" s="17"/>
      <c r="V49" s="26"/>
      <c r="W49" s="43"/>
      <c r="X49" s="17"/>
      <c r="Y49" s="17"/>
      <c r="Z49" s="17"/>
      <c r="AA49" s="17"/>
      <c r="AB49" s="26"/>
      <c r="AC49" s="17"/>
      <c r="AD49" s="26"/>
      <c r="AE49" s="43"/>
      <c r="AF49" s="17"/>
      <c r="AG49" s="17"/>
      <c r="AH49" s="100"/>
      <c r="AI49" s="100"/>
      <c r="AJ49" s="101"/>
      <c r="AK49" s="100"/>
      <c r="AL49" s="101"/>
      <c r="AM49" s="98"/>
      <c r="AN49" s="100"/>
      <c r="AO49" s="155" t="str">
        <f t="shared" si="0"/>
        <v>OK</v>
      </c>
      <c r="AP49" t="s">
        <v>31</v>
      </c>
    </row>
    <row r="50" spans="1:44" x14ac:dyDescent="0.35">
      <c r="A50" s="16" t="s">
        <v>32</v>
      </c>
      <c r="B50" s="17"/>
      <c r="C50" s="17"/>
      <c r="D50" s="26"/>
      <c r="E50" s="17"/>
      <c r="F50" s="26"/>
      <c r="G50" s="43"/>
      <c r="H50" s="17"/>
      <c r="I50" s="17"/>
      <c r="J50" s="17"/>
      <c r="K50" s="17"/>
      <c r="L50" s="26"/>
      <c r="M50" s="17"/>
      <c r="N50" s="26"/>
      <c r="O50" s="43"/>
      <c r="P50" s="17"/>
      <c r="Q50" s="17"/>
      <c r="R50" s="17"/>
      <c r="S50" s="17"/>
      <c r="T50" s="26"/>
      <c r="U50" s="17"/>
      <c r="V50" s="26"/>
      <c r="W50" s="43"/>
      <c r="X50" s="17"/>
      <c r="Y50" s="17"/>
      <c r="Z50" s="17"/>
      <c r="AA50" s="17"/>
      <c r="AB50" s="26"/>
      <c r="AC50" s="17"/>
      <c r="AD50" s="26"/>
      <c r="AE50" s="43"/>
      <c r="AF50" s="17"/>
      <c r="AG50" s="17"/>
      <c r="AH50" s="100"/>
      <c r="AI50" s="100"/>
      <c r="AJ50" s="101"/>
      <c r="AK50" s="100"/>
      <c r="AL50" s="101"/>
      <c r="AM50" s="98"/>
      <c r="AN50" s="100"/>
      <c r="AO50" s="155" t="str">
        <f t="shared" si="0"/>
        <v>OK</v>
      </c>
      <c r="AP50" t="s">
        <v>32</v>
      </c>
    </row>
    <row r="51" spans="1:44" x14ac:dyDescent="0.35">
      <c r="A51" s="16" t="s">
        <v>33</v>
      </c>
      <c r="B51" s="17">
        <v>394242</v>
      </c>
      <c r="C51" s="17">
        <v>36607</v>
      </c>
      <c r="D51" s="26">
        <v>9.2854135277316979E-2</v>
      </c>
      <c r="E51" s="17">
        <v>110842</v>
      </c>
      <c r="F51" s="26">
        <v>0.28115218571334361</v>
      </c>
      <c r="G51" s="43">
        <v>1</v>
      </c>
      <c r="H51" s="17">
        <v>1000</v>
      </c>
      <c r="I51" s="17"/>
      <c r="J51" s="17">
        <v>543877</v>
      </c>
      <c r="K51" s="17">
        <v>46815</v>
      </c>
      <c r="L51" s="26">
        <v>8.607644743204805E-2</v>
      </c>
      <c r="M51" s="17">
        <v>170704</v>
      </c>
      <c r="N51" s="26">
        <v>0.31386508346556297</v>
      </c>
      <c r="O51" s="43">
        <v>4</v>
      </c>
      <c r="P51" s="17">
        <v>4313</v>
      </c>
      <c r="Q51" s="17"/>
      <c r="R51" s="17">
        <v>873821.68</v>
      </c>
      <c r="S51" s="17">
        <v>187902</v>
      </c>
      <c r="T51" s="26">
        <v>0.21503471966957835</v>
      </c>
      <c r="U51" s="17">
        <v>217101</v>
      </c>
      <c r="V51" s="26">
        <v>0.24845000412441126</v>
      </c>
      <c r="W51" s="43"/>
      <c r="X51" s="17"/>
      <c r="Y51" s="17"/>
      <c r="Z51" s="17">
        <v>1018121.4000000003</v>
      </c>
      <c r="AA51" s="17">
        <v>339009.60000000003</v>
      </c>
      <c r="AB51" s="26">
        <v>0.33297561567805173</v>
      </c>
      <c r="AC51" s="17">
        <v>250051.59</v>
      </c>
      <c r="AD51" s="26">
        <v>0.24560095682106273</v>
      </c>
      <c r="AE51" s="43"/>
      <c r="AF51" s="17"/>
      <c r="AG51" s="17"/>
      <c r="AH51" s="100">
        <v>747516.58999999962</v>
      </c>
      <c r="AI51" s="100">
        <v>222393.72</v>
      </c>
      <c r="AJ51" s="101">
        <f>AI51/AH51</f>
        <v>0.29751007934151685</v>
      </c>
      <c r="AK51" s="100">
        <v>191887.97999999992</v>
      </c>
      <c r="AL51" s="101">
        <f>AK51/AH51</f>
        <v>0.25670063055055409</v>
      </c>
      <c r="AM51" s="98">
        <v>1</v>
      </c>
      <c r="AN51" s="100">
        <v>250</v>
      </c>
      <c r="AO51" s="155" t="str">
        <f t="shared" si="0"/>
        <v>OK</v>
      </c>
      <c r="AP51" t="s">
        <v>33</v>
      </c>
      <c r="AQ51">
        <v>1</v>
      </c>
      <c r="AR51" s="271">
        <v>250</v>
      </c>
    </row>
    <row r="52" spans="1:44" x14ac:dyDescent="0.35">
      <c r="A52" s="16"/>
      <c r="B52" s="16"/>
      <c r="C52" s="16"/>
      <c r="D52" s="33"/>
      <c r="E52" s="16"/>
      <c r="F52" s="33"/>
      <c r="G52" s="16"/>
      <c r="H52" s="16"/>
      <c r="I52" s="16"/>
      <c r="J52" s="16"/>
      <c r="K52" s="16"/>
      <c r="L52" s="33"/>
      <c r="M52" s="16"/>
      <c r="N52" s="33"/>
      <c r="O52" s="16"/>
      <c r="P52" s="16"/>
      <c r="Q52" s="16"/>
      <c r="R52" s="16"/>
      <c r="S52" s="16"/>
      <c r="T52" s="33"/>
      <c r="U52" s="16"/>
      <c r="V52" s="33"/>
      <c r="W52" s="16"/>
      <c r="X52" s="16"/>
      <c r="Y52" s="16"/>
      <c r="Z52" s="16"/>
      <c r="AA52" s="16"/>
      <c r="AB52" s="33"/>
      <c r="AC52" s="16"/>
      <c r="AD52" s="33"/>
      <c r="AE52" s="16"/>
      <c r="AF52" s="16"/>
      <c r="AG52" s="16"/>
      <c r="AH52" s="16"/>
      <c r="AI52" s="94"/>
      <c r="AJ52" s="102"/>
      <c r="AK52" s="94"/>
      <c r="AL52" s="102"/>
      <c r="AM52" s="94"/>
      <c r="AN52" s="94"/>
      <c r="AO52" s="155" t="str">
        <f t="shared" si="0"/>
        <v>OK</v>
      </c>
    </row>
    <row r="53" spans="1:44" ht="15" thickBot="1" x14ac:dyDescent="0.4">
      <c r="A53" s="25" t="s">
        <v>113</v>
      </c>
      <c r="B53" s="35">
        <v>271291202</v>
      </c>
      <c r="C53" s="35">
        <v>31560632</v>
      </c>
      <c r="D53" s="27">
        <v>0.11633488947422629</v>
      </c>
      <c r="E53" s="35">
        <v>44282718</v>
      </c>
      <c r="F53" s="27">
        <v>0.16322946587851381</v>
      </c>
      <c r="G53" s="35">
        <v>1192</v>
      </c>
      <c r="H53" s="35">
        <v>5413696</v>
      </c>
      <c r="I53" s="301"/>
      <c r="J53" s="35">
        <v>290177532</v>
      </c>
      <c r="K53" s="35">
        <v>32521908</v>
      </c>
      <c r="L53" s="27">
        <v>0.11207589979778311</v>
      </c>
      <c r="M53" s="35">
        <v>47689923</v>
      </c>
      <c r="N53" s="27">
        <v>0.16434740026667538</v>
      </c>
      <c r="O53" s="35">
        <v>1260</v>
      </c>
      <c r="P53" s="35">
        <v>6307739</v>
      </c>
      <c r="Q53" s="301"/>
      <c r="R53" s="35">
        <v>304969564.49000174</v>
      </c>
      <c r="S53" s="35">
        <v>36741004</v>
      </c>
      <c r="T53" s="27">
        <v>0.12047433015632789</v>
      </c>
      <c r="U53" s="35">
        <v>49745813</v>
      </c>
      <c r="V53" s="27">
        <v>0.16311730346990377</v>
      </c>
      <c r="W53" s="35">
        <v>1262</v>
      </c>
      <c r="X53" s="35">
        <v>6342900</v>
      </c>
      <c r="Y53" s="301"/>
      <c r="Z53" s="35">
        <v>313482707.37000191</v>
      </c>
      <c r="AA53" s="35">
        <v>32611123.019999992</v>
      </c>
      <c r="AB53" s="27">
        <v>0.10402845915678935</v>
      </c>
      <c r="AC53" s="35">
        <v>50533247.789999932</v>
      </c>
      <c r="AD53" s="27">
        <v>0.16119947480980448</v>
      </c>
      <c r="AE53" s="35">
        <v>851</v>
      </c>
      <c r="AF53" s="35">
        <v>5167178.5300000012</v>
      </c>
      <c r="AG53" s="301"/>
      <c r="AH53" s="310">
        <f>SUM(AH6:AH51)</f>
        <v>319030391.43000144</v>
      </c>
      <c r="AI53" s="310">
        <f>SUM(AI6:AI51)</f>
        <v>44825261.610000044</v>
      </c>
      <c r="AJ53" s="103">
        <f>AI53/AH53</f>
        <v>0.14050467546078652</v>
      </c>
      <c r="AK53" s="310">
        <f>SUM(AK6:AK51)</f>
        <v>51587383.600000001</v>
      </c>
      <c r="AL53" s="103">
        <f>AK53/AH53</f>
        <v>0.16170053068852785</v>
      </c>
      <c r="AM53" s="310">
        <f>SUM(AM6:AM51)</f>
        <v>760</v>
      </c>
      <c r="AN53" s="310">
        <f>SUM(AN6:AN51)</f>
        <v>4229793.55</v>
      </c>
    </row>
    <row r="54" spans="1:44" ht="15" thickTop="1" x14ac:dyDescent="0.35"/>
    <row r="59" spans="1:44" x14ac:dyDescent="0.35">
      <c r="AP59" t="s">
        <v>397</v>
      </c>
      <c r="AQ59">
        <v>195</v>
      </c>
      <c r="AR59" s="271">
        <v>2110468.19</v>
      </c>
    </row>
  </sheetData>
  <sortState ref="A6:AN51">
    <sortCondition ref="A6"/>
  </sortState>
  <mergeCells count="15">
    <mergeCell ref="AM3:AN3"/>
    <mergeCell ref="C3:D3"/>
    <mergeCell ref="E3:F3"/>
    <mergeCell ref="G3:H3"/>
    <mergeCell ref="K3:L3"/>
    <mergeCell ref="M3:N3"/>
    <mergeCell ref="O3:P3"/>
    <mergeCell ref="S3:T3"/>
    <mergeCell ref="U3:V3"/>
    <mergeCell ref="W3:X3"/>
    <mergeCell ref="AI3:AJ3"/>
    <mergeCell ref="AK3:AL3"/>
    <mergeCell ref="AA3:AB3"/>
    <mergeCell ref="AC3:AD3"/>
    <mergeCell ref="AE3:AF3"/>
  </mergeCells>
  <pageMargins left="0.7" right="0.7" top="0.75" bottom="0.75" header="0.3" footer="0.3"/>
  <pageSetup orientation="portrait" r:id="rId1"/>
  <customProperties>
    <customPr name="EpmWorksheetKeyString_GU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54"/>
  <sheetViews>
    <sheetView workbookViewId="0">
      <pane xSplit="1" ySplit="5" topLeftCell="X6" activePane="bottomRight" state="frozen"/>
      <selection activeCell="D5" sqref="D5:E5"/>
      <selection pane="topRight" activeCell="D5" sqref="D5:E5"/>
      <selection pane="bottomLeft" activeCell="D5" sqref="D5:E5"/>
      <selection pane="bottomRight" activeCell="D5" sqref="D5:E5"/>
    </sheetView>
  </sheetViews>
  <sheetFormatPr defaultRowHeight="14.5" x14ac:dyDescent="0.35"/>
  <cols>
    <col min="1" max="1" width="49.26953125" bestFit="1" customWidth="1"/>
    <col min="4" max="4" width="9.1796875" style="165"/>
    <col min="5" max="5" width="1.7265625" customWidth="1"/>
    <col min="10" max="10" width="9.1796875" style="165"/>
    <col min="11" max="11" width="1.7265625" customWidth="1"/>
    <col min="16" max="16" width="9.1796875" style="165"/>
    <col min="17" max="17" width="1.7265625" customWidth="1"/>
    <col min="22" max="22" width="8.7265625" style="165"/>
    <col min="23" max="23" width="1.7265625" customWidth="1"/>
    <col min="28" max="28" width="9.1796875" style="165"/>
    <col min="30" max="30" width="20.1796875" customWidth="1"/>
    <col min="33" max="37" width="0" hidden="1" customWidth="1"/>
    <col min="39" max="39" width="9.1796875" style="308"/>
    <col min="42" max="42" width="9.1796875" style="308"/>
    <col min="43" max="50" width="0" hidden="1" customWidth="1"/>
  </cols>
  <sheetData>
    <row r="1" spans="1:50" x14ac:dyDescent="0.35">
      <c r="A1" s="29">
        <v>1</v>
      </c>
      <c r="B1" s="29">
        <v>2</v>
      </c>
      <c r="C1" s="29">
        <v>3</v>
      </c>
      <c r="D1" s="29">
        <v>4</v>
      </c>
      <c r="E1" s="29">
        <v>5</v>
      </c>
      <c r="F1" s="29">
        <v>6</v>
      </c>
      <c r="G1" s="29">
        <v>7</v>
      </c>
      <c r="H1" s="29">
        <v>8</v>
      </c>
      <c r="I1" s="29">
        <v>9</v>
      </c>
      <c r="J1" s="29">
        <v>10</v>
      </c>
      <c r="K1" s="29">
        <v>11</v>
      </c>
      <c r="L1" s="29">
        <v>12</v>
      </c>
      <c r="M1" s="29">
        <v>13</v>
      </c>
      <c r="N1" s="29">
        <v>14</v>
      </c>
      <c r="O1" s="29">
        <v>15</v>
      </c>
      <c r="P1" s="29">
        <v>16</v>
      </c>
      <c r="Q1" s="29">
        <v>17</v>
      </c>
      <c r="R1" s="29">
        <v>18</v>
      </c>
      <c r="S1" s="29">
        <v>19</v>
      </c>
      <c r="T1" s="29">
        <v>20</v>
      </c>
      <c r="U1" s="29">
        <v>21</v>
      </c>
      <c r="V1" s="29">
        <v>22</v>
      </c>
      <c r="W1" s="29">
        <v>23</v>
      </c>
      <c r="X1" s="29">
        <v>24</v>
      </c>
      <c r="Y1" s="29">
        <v>25</v>
      </c>
      <c r="Z1" s="29">
        <v>26</v>
      </c>
      <c r="AA1" s="29">
        <v>27</v>
      </c>
      <c r="AB1" s="29">
        <v>28</v>
      </c>
    </row>
    <row r="2" spans="1:50" x14ac:dyDescent="0.35">
      <c r="B2" s="55" t="s">
        <v>214</v>
      </c>
      <c r="C2" s="55"/>
      <c r="D2" s="159"/>
      <c r="E2" s="37"/>
      <c r="F2" s="55"/>
      <c r="G2" s="55"/>
      <c r="H2" s="55"/>
      <c r="I2" s="55"/>
      <c r="J2" s="159"/>
      <c r="K2" s="37"/>
      <c r="L2" s="55"/>
      <c r="M2" s="55"/>
      <c r="N2" s="55"/>
      <c r="O2" s="55"/>
      <c r="P2" s="159"/>
      <c r="Q2" s="37"/>
      <c r="R2" s="55"/>
      <c r="S2" s="55"/>
      <c r="T2" s="55"/>
      <c r="U2" s="55"/>
      <c r="V2" s="159"/>
      <c r="W2" s="37"/>
      <c r="X2" s="55"/>
      <c r="Y2" s="55"/>
      <c r="Z2" s="55"/>
      <c r="AA2" s="55"/>
      <c r="AB2" s="159"/>
    </row>
    <row r="3" spans="1:50" x14ac:dyDescent="0.35">
      <c r="B3" s="56"/>
      <c r="C3" s="56"/>
      <c r="D3" s="160"/>
      <c r="E3" s="71"/>
      <c r="F3" s="56"/>
      <c r="G3" s="56"/>
      <c r="H3" s="56"/>
      <c r="I3" s="56"/>
      <c r="J3" s="160"/>
      <c r="K3" s="71"/>
      <c r="L3" s="56"/>
      <c r="M3" s="56"/>
      <c r="N3" s="56"/>
      <c r="O3" s="56"/>
      <c r="P3" s="160"/>
      <c r="Q3" s="71"/>
      <c r="R3" s="56"/>
      <c r="S3" s="56"/>
      <c r="T3" s="56"/>
      <c r="U3" s="56"/>
      <c r="V3" s="160"/>
      <c r="W3" s="71"/>
      <c r="X3" s="56"/>
      <c r="Y3" s="56"/>
      <c r="Z3" s="57"/>
      <c r="AA3" s="56"/>
      <c r="AB3" s="160"/>
      <c r="AE3" s="431" t="s">
        <v>37</v>
      </c>
      <c r="AF3" s="432"/>
      <c r="AG3" s="432"/>
      <c r="AH3" s="432"/>
      <c r="AI3" s="432"/>
      <c r="AJ3" s="432"/>
      <c r="AK3" s="432"/>
      <c r="AL3" s="432"/>
      <c r="AM3" s="432"/>
      <c r="AN3" s="433"/>
      <c r="AO3" s="431" t="s">
        <v>355</v>
      </c>
      <c r="AP3" s="432"/>
      <c r="AQ3" s="432"/>
      <c r="AR3" s="432"/>
      <c r="AS3" s="432"/>
      <c r="AT3" s="432"/>
      <c r="AU3" s="432"/>
      <c r="AV3" s="432"/>
      <c r="AW3" s="432"/>
      <c r="AX3" s="433"/>
    </row>
    <row r="4" spans="1:50" x14ac:dyDescent="0.35">
      <c r="B4" s="42">
        <v>2017</v>
      </c>
      <c r="C4" s="42">
        <v>2017</v>
      </c>
      <c r="D4" s="42">
        <v>2017</v>
      </c>
      <c r="E4" s="42"/>
      <c r="F4" s="42">
        <v>2018</v>
      </c>
      <c r="G4" s="42">
        <v>2018</v>
      </c>
      <c r="H4" s="42">
        <v>2018</v>
      </c>
      <c r="I4" s="42">
        <v>2018</v>
      </c>
      <c r="J4" s="42">
        <v>2018</v>
      </c>
      <c r="K4" s="42"/>
      <c r="L4" s="42">
        <v>2019</v>
      </c>
      <c r="M4" s="42">
        <v>2019</v>
      </c>
      <c r="N4" s="42">
        <v>2019</v>
      </c>
      <c r="O4" s="42">
        <v>2019</v>
      </c>
      <c r="P4" s="42">
        <v>2019</v>
      </c>
      <c r="Q4" s="42"/>
      <c r="R4" s="42">
        <v>2020</v>
      </c>
      <c r="S4" s="42">
        <v>2020</v>
      </c>
      <c r="T4" s="42">
        <v>2020</v>
      </c>
      <c r="U4" s="42">
        <v>2020</v>
      </c>
      <c r="V4" s="42">
        <v>2020</v>
      </c>
      <c r="W4" s="42"/>
      <c r="X4" s="42">
        <v>2021</v>
      </c>
      <c r="Y4" s="42">
        <v>2021</v>
      </c>
      <c r="Z4" s="42">
        <v>2021</v>
      </c>
      <c r="AA4" s="42">
        <v>2021</v>
      </c>
      <c r="AB4" s="42">
        <v>2021</v>
      </c>
      <c r="AE4" t="s">
        <v>348</v>
      </c>
      <c r="AG4" t="s">
        <v>349</v>
      </c>
      <c r="AJ4" t="s">
        <v>350</v>
      </c>
      <c r="AL4" t="s">
        <v>351</v>
      </c>
      <c r="AO4" t="s">
        <v>348</v>
      </c>
      <c r="AR4" t="s">
        <v>349</v>
      </c>
      <c r="AU4" t="s">
        <v>350</v>
      </c>
      <c r="AW4" t="s">
        <v>351</v>
      </c>
    </row>
    <row r="5" spans="1:50" ht="58" x14ac:dyDescent="0.35">
      <c r="A5" s="104" t="s">
        <v>36</v>
      </c>
      <c r="B5" s="104" t="s">
        <v>215</v>
      </c>
      <c r="C5" s="104" t="s">
        <v>216</v>
      </c>
      <c r="D5" s="161" t="s">
        <v>217</v>
      </c>
      <c r="E5" s="161"/>
      <c r="F5" s="104" t="s">
        <v>215</v>
      </c>
      <c r="G5" s="104" t="s">
        <v>218</v>
      </c>
      <c r="H5" s="304" t="s">
        <v>322</v>
      </c>
      <c r="I5" s="104" t="s">
        <v>216</v>
      </c>
      <c r="J5" s="161" t="s">
        <v>217</v>
      </c>
      <c r="K5" s="161"/>
      <c r="L5" s="104" t="s">
        <v>215</v>
      </c>
      <c r="M5" s="104" t="s">
        <v>218</v>
      </c>
      <c r="N5" s="304" t="s">
        <v>322</v>
      </c>
      <c r="O5" s="104" t="s">
        <v>216</v>
      </c>
      <c r="P5" s="161" t="s">
        <v>217</v>
      </c>
      <c r="Q5" s="161"/>
      <c r="R5" s="104" t="s">
        <v>215</v>
      </c>
      <c r="S5" s="104" t="s">
        <v>218</v>
      </c>
      <c r="T5" s="304" t="s">
        <v>322</v>
      </c>
      <c r="U5" s="104" t="s">
        <v>216</v>
      </c>
      <c r="V5" s="161" t="s">
        <v>217</v>
      </c>
      <c r="W5" s="161"/>
      <c r="X5" s="104" t="s">
        <v>215</v>
      </c>
      <c r="Y5" s="104" t="s">
        <v>218</v>
      </c>
      <c r="Z5" s="104" t="s">
        <v>322</v>
      </c>
      <c r="AA5" s="104" t="s">
        <v>216</v>
      </c>
      <c r="AB5" s="161" t="s">
        <v>217</v>
      </c>
      <c r="AD5" t="s">
        <v>36</v>
      </c>
      <c r="AE5" t="s">
        <v>39</v>
      </c>
      <c r="AG5" t="s">
        <v>39</v>
      </c>
      <c r="AH5" t="s">
        <v>328</v>
      </c>
      <c r="AL5" t="s">
        <v>39</v>
      </c>
      <c r="AM5" s="321" t="s">
        <v>328</v>
      </c>
      <c r="AO5" t="s">
        <v>39</v>
      </c>
      <c r="AP5" s="321" t="s">
        <v>328</v>
      </c>
      <c r="AR5" t="s">
        <v>39</v>
      </c>
      <c r="AS5" t="s">
        <v>352</v>
      </c>
      <c r="AW5" t="s">
        <v>39</v>
      </c>
      <c r="AX5" t="s">
        <v>328</v>
      </c>
    </row>
    <row r="6" spans="1:50" x14ac:dyDescent="0.35">
      <c r="A6" s="16" t="s">
        <v>345</v>
      </c>
      <c r="B6" s="32">
        <v>73</v>
      </c>
      <c r="C6" s="32">
        <v>10</v>
      </c>
      <c r="D6" s="162">
        <v>0.13698630136986301</v>
      </c>
      <c r="E6" s="162"/>
      <c r="F6" s="32">
        <v>71</v>
      </c>
      <c r="G6" s="32">
        <v>7</v>
      </c>
      <c r="H6" s="224">
        <v>9.8591549295774641E-2</v>
      </c>
      <c r="I6" s="32">
        <v>9</v>
      </c>
      <c r="J6" s="162">
        <v>0.12676056338028169</v>
      </c>
      <c r="K6" s="162"/>
      <c r="L6" s="32">
        <v>68</v>
      </c>
      <c r="M6" s="32">
        <v>6</v>
      </c>
      <c r="N6" s="224">
        <v>8.8235294117647065E-2</v>
      </c>
      <c r="O6" s="32">
        <v>9</v>
      </c>
      <c r="P6" s="162">
        <v>0.13235294117647059</v>
      </c>
      <c r="Q6" s="162"/>
      <c r="R6" s="32">
        <v>77</v>
      </c>
      <c r="S6" s="32"/>
      <c r="T6" s="224"/>
      <c r="U6" s="32">
        <v>10</v>
      </c>
      <c r="V6" s="162">
        <v>0.12987012987012986</v>
      </c>
      <c r="W6" s="162"/>
      <c r="X6" s="97">
        <v>75</v>
      </c>
      <c r="Y6" s="97"/>
      <c r="Z6" s="268"/>
      <c r="AA6" s="97">
        <v>10</v>
      </c>
      <c r="AB6" s="268">
        <f>AA6/X6</f>
        <v>0.13333333333333333</v>
      </c>
      <c r="AC6" s="155" t="str">
        <f t="shared" ref="AC6:AC51" si="0">IF(AD6=A6,"OK","No")</f>
        <v>OK</v>
      </c>
      <c r="AD6" t="s">
        <v>345</v>
      </c>
      <c r="AE6">
        <v>75</v>
      </c>
      <c r="AG6">
        <v>41</v>
      </c>
      <c r="AH6">
        <v>0.53246753246753242</v>
      </c>
      <c r="AJ6">
        <v>12.691229318626579</v>
      </c>
      <c r="AO6">
        <v>10</v>
      </c>
      <c r="AP6" s="308">
        <v>0.13333333333333333</v>
      </c>
      <c r="AR6">
        <v>7</v>
      </c>
      <c r="AS6">
        <v>0.7</v>
      </c>
      <c r="AU6">
        <v>9.6728767123287689</v>
      </c>
    </row>
    <row r="7" spans="1:50" x14ac:dyDescent="0.35">
      <c r="A7" s="16" t="s">
        <v>21</v>
      </c>
      <c r="B7" s="32">
        <v>485</v>
      </c>
      <c r="C7" s="32"/>
      <c r="D7" s="162"/>
      <c r="E7" s="162"/>
      <c r="F7" s="32">
        <v>510</v>
      </c>
      <c r="G7" s="32">
        <v>378</v>
      </c>
      <c r="H7" s="224">
        <v>0.74117647058823533</v>
      </c>
      <c r="I7" s="32"/>
      <c r="J7" s="162"/>
      <c r="K7" s="162"/>
      <c r="L7" s="32">
        <v>617</v>
      </c>
      <c r="M7" s="32">
        <v>353</v>
      </c>
      <c r="N7" s="224">
        <v>0.57212317666126422</v>
      </c>
      <c r="O7" s="32"/>
      <c r="P7" s="162"/>
      <c r="Q7" s="162"/>
      <c r="R7" s="32">
        <v>648</v>
      </c>
      <c r="S7" s="32">
        <v>350</v>
      </c>
      <c r="T7" s="224">
        <v>0.54012345679012341</v>
      </c>
      <c r="U7" s="32"/>
      <c r="V7" s="162"/>
      <c r="W7" s="162"/>
      <c r="X7" s="97">
        <v>650</v>
      </c>
      <c r="Y7" s="97">
        <v>351</v>
      </c>
      <c r="Z7" s="268">
        <f>Y7/X7</f>
        <v>0.54</v>
      </c>
      <c r="AA7" s="97"/>
      <c r="AB7" s="268"/>
      <c r="AC7" s="155" t="str">
        <f t="shared" si="0"/>
        <v>OK</v>
      </c>
      <c r="AD7" t="s">
        <v>21</v>
      </c>
      <c r="AE7">
        <v>650</v>
      </c>
      <c r="AG7">
        <v>219</v>
      </c>
      <c r="AH7">
        <v>0.33796296296296297</v>
      </c>
      <c r="AJ7">
        <v>7.941484863859297</v>
      </c>
      <c r="AL7">
        <v>351</v>
      </c>
      <c r="AM7" s="308">
        <v>0.54</v>
      </c>
    </row>
    <row r="8" spans="1:50" x14ac:dyDescent="0.35">
      <c r="A8" s="16" t="s">
        <v>357</v>
      </c>
      <c r="B8" s="32"/>
      <c r="C8" s="32"/>
      <c r="D8" s="162"/>
      <c r="E8" s="162"/>
      <c r="F8" s="32"/>
      <c r="G8" s="32"/>
      <c r="H8" s="224"/>
      <c r="I8" s="32"/>
      <c r="J8" s="162"/>
      <c r="K8" s="162"/>
      <c r="L8" s="32"/>
      <c r="M8" s="32"/>
      <c r="N8" s="224"/>
      <c r="O8" s="32"/>
      <c r="P8" s="162"/>
      <c r="Q8" s="162"/>
      <c r="R8" s="32"/>
      <c r="S8" s="32"/>
      <c r="T8" s="224"/>
      <c r="U8" s="32"/>
      <c r="V8" s="162"/>
      <c r="W8" s="162"/>
      <c r="X8" s="97"/>
      <c r="Y8" s="97"/>
      <c r="Z8" s="268"/>
      <c r="AA8" s="97"/>
      <c r="AB8" s="268"/>
      <c r="AC8" s="155" t="str">
        <f t="shared" si="0"/>
        <v>OK</v>
      </c>
      <c r="AD8" t="s">
        <v>357</v>
      </c>
    </row>
    <row r="9" spans="1:50" x14ac:dyDescent="0.35">
      <c r="A9" s="16" t="s">
        <v>0</v>
      </c>
      <c r="B9" s="32">
        <v>4251</v>
      </c>
      <c r="C9" s="32">
        <v>1674</v>
      </c>
      <c r="D9" s="162">
        <v>0.39378969654199014</v>
      </c>
      <c r="E9" s="162"/>
      <c r="F9" s="32">
        <v>4534</v>
      </c>
      <c r="G9" s="32">
        <v>876</v>
      </c>
      <c r="H9" s="224">
        <v>0.19320688134097927</v>
      </c>
      <c r="I9" s="32">
        <v>1726</v>
      </c>
      <c r="J9" s="162">
        <v>0.38067931186590209</v>
      </c>
      <c r="K9" s="162"/>
      <c r="L9" s="32">
        <v>4955</v>
      </c>
      <c r="M9" s="32">
        <v>842</v>
      </c>
      <c r="N9" s="224">
        <v>0.16992936427850655</v>
      </c>
      <c r="O9" s="32">
        <v>1944</v>
      </c>
      <c r="P9" s="162">
        <v>0.39233097880928353</v>
      </c>
      <c r="Q9" s="162"/>
      <c r="R9" s="32">
        <v>5180</v>
      </c>
      <c r="S9" s="32">
        <v>101</v>
      </c>
      <c r="T9" s="224">
        <v>1.9498069498069499E-2</v>
      </c>
      <c r="U9" s="32">
        <v>1989</v>
      </c>
      <c r="V9" s="162">
        <v>0.38397683397683396</v>
      </c>
      <c r="W9" s="162"/>
      <c r="X9" s="97">
        <v>5377</v>
      </c>
      <c r="Y9" s="97">
        <v>109</v>
      </c>
      <c r="Z9" s="268">
        <f>Y9/X9</f>
        <v>2.0271526873721406E-2</v>
      </c>
      <c r="AA9" s="97">
        <v>2049</v>
      </c>
      <c r="AB9" s="268">
        <f t="shared" ref="AB9:AB14" si="1">AA9/X9</f>
        <v>0.38106750976380882</v>
      </c>
      <c r="AC9" s="155" t="str">
        <f t="shared" si="0"/>
        <v>OK</v>
      </c>
      <c r="AD9" t="s">
        <v>0</v>
      </c>
      <c r="AE9">
        <v>5377</v>
      </c>
      <c r="AG9">
        <v>2360</v>
      </c>
      <c r="AH9">
        <v>0.45559845559845558</v>
      </c>
      <c r="AJ9">
        <v>10.112065372613397</v>
      </c>
      <c r="AL9">
        <v>109</v>
      </c>
      <c r="AM9" s="308">
        <v>2.0271526873721406E-2</v>
      </c>
      <c r="AO9">
        <v>2049</v>
      </c>
      <c r="AP9" s="308">
        <v>0.38106750976380882</v>
      </c>
      <c r="AR9">
        <v>773</v>
      </c>
      <c r="AS9">
        <v>0.39001009081735621</v>
      </c>
      <c r="AU9">
        <v>9.0607301328393905</v>
      </c>
      <c r="AW9">
        <v>25</v>
      </c>
      <c r="AX9">
        <v>4.8619214313496695E-3</v>
      </c>
    </row>
    <row r="10" spans="1:50" x14ac:dyDescent="0.35">
      <c r="A10" s="16" t="s">
        <v>1</v>
      </c>
      <c r="B10" s="32">
        <v>2570</v>
      </c>
      <c r="C10" s="32">
        <v>864</v>
      </c>
      <c r="D10" s="162">
        <v>0.33618677042801559</v>
      </c>
      <c r="E10" s="162"/>
      <c r="F10" s="32">
        <v>2902</v>
      </c>
      <c r="G10" s="32">
        <v>1167</v>
      </c>
      <c r="H10" s="224">
        <v>0.40213645761543765</v>
      </c>
      <c r="I10" s="32">
        <v>906</v>
      </c>
      <c r="J10" s="162">
        <v>0.3121984838042729</v>
      </c>
      <c r="K10" s="162"/>
      <c r="L10" s="32">
        <v>3007</v>
      </c>
      <c r="M10" s="32">
        <v>96</v>
      </c>
      <c r="N10" s="224">
        <v>3.1925507149983372E-2</v>
      </c>
      <c r="O10" s="32">
        <v>947</v>
      </c>
      <c r="P10" s="162">
        <v>0.31493182573994016</v>
      </c>
      <c r="Q10" s="162"/>
      <c r="R10" s="32">
        <v>3153</v>
      </c>
      <c r="S10" s="32">
        <v>70</v>
      </c>
      <c r="T10" s="224">
        <v>2.2201078338090707E-2</v>
      </c>
      <c r="U10" s="32">
        <v>979</v>
      </c>
      <c r="V10" s="162">
        <v>0.3104979384712972</v>
      </c>
      <c r="W10" s="162"/>
      <c r="X10" s="97">
        <v>3346</v>
      </c>
      <c r="Y10" s="97">
        <v>105</v>
      </c>
      <c r="Z10" s="268">
        <f>Y10/X10</f>
        <v>3.1380753138075312E-2</v>
      </c>
      <c r="AA10" s="97">
        <v>1048</v>
      </c>
      <c r="AB10" s="268">
        <f t="shared" si="1"/>
        <v>0.31320980274955168</v>
      </c>
      <c r="AC10" s="155" t="str">
        <f t="shared" si="0"/>
        <v>OK</v>
      </c>
      <c r="AD10" t="s">
        <v>1</v>
      </c>
      <c r="AE10">
        <v>3346</v>
      </c>
      <c r="AG10">
        <v>1378</v>
      </c>
      <c r="AH10">
        <v>0.43704408499841418</v>
      </c>
      <c r="AJ10">
        <v>10.472011435075908</v>
      </c>
      <c r="AL10">
        <v>105</v>
      </c>
      <c r="AM10" s="308">
        <v>3.1380753138075312E-2</v>
      </c>
      <c r="AO10">
        <v>1048</v>
      </c>
      <c r="AP10" s="308">
        <v>0.31320980274955168</v>
      </c>
      <c r="AR10">
        <v>323</v>
      </c>
      <c r="AS10">
        <v>0.33128205128205129</v>
      </c>
      <c r="AU10">
        <v>8.508886547242696</v>
      </c>
      <c r="AW10">
        <v>24</v>
      </c>
      <c r="AX10">
        <v>7.6335877862595417E-3</v>
      </c>
    </row>
    <row r="11" spans="1:50" x14ac:dyDescent="0.35">
      <c r="A11" s="16" t="s">
        <v>2</v>
      </c>
      <c r="B11" s="32">
        <v>334</v>
      </c>
      <c r="C11" s="32">
        <v>121</v>
      </c>
      <c r="D11" s="162">
        <v>0.36227544910179643</v>
      </c>
      <c r="E11" s="162"/>
      <c r="F11" s="32">
        <v>359</v>
      </c>
      <c r="G11" s="32">
        <v>26</v>
      </c>
      <c r="H11" s="224">
        <v>7.2423398328690811E-2</v>
      </c>
      <c r="I11" s="32">
        <v>129</v>
      </c>
      <c r="J11" s="162">
        <v>0.35933147632311979</v>
      </c>
      <c r="K11" s="162"/>
      <c r="L11" s="32">
        <v>377</v>
      </c>
      <c r="M11" s="32">
        <v>23</v>
      </c>
      <c r="N11" s="224">
        <v>6.1007957559681698E-2</v>
      </c>
      <c r="O11" s="32">
        <v>143</v>
      </c>
      <c r="P11" s="162">
        <v>0.37931034482758619</v>
      </c>
      <c r="Q11" s="162"/>
      <c r="R11" s="32">
        <v>345</v>
      </c>
      <c r="S11" s="32"/>
      <c r="T11" s="224"/>
      <c r="U11" s="32">
        <v>127</v>
      </c>
      <c r="V11" s="162">
        <v>0.36811594202898551</v>
      </c>
      <c r="W11" s="162"/>
      <c r="X11" s="97">
        <v>352</v>
      </c>
      <c r="Y11" s="97"/>
      <c r="Z11" s="268"/>
      <c r="AA11" s="97">
        <v>135</v>
      </c>
      <c r="AB11" s="268">
        <f t="shared" si="1"/>
        <v>0.38352272727272729</v>
      </c>
      <c r="AC11" s="155" t="str">
        <f t="shared" si="0"/>
        <v>OK</v>
      </c>
      <c r="AD11" t="s">
        <v>2</v>
      </c>
      <c r="AE11">
        <v>352</v>
      </c>
      <c r="AG11">
        <v>144</v>
      </c>
      <c r="AH11">
        <v>0.41739130434782606</v>
      </c>
      <c r="AJ11">
        <v>9.6175342465753353</v>
      </c>
      <c r="AO11">
        <v>135</v>
      </c>
      <c r="AP11" s="308">
        <v>0.38352272727272729</v>
      </c>
      <c r="AR11">
        <v>48</v>
      </c>
      <c r="AS11">
        <v>0.37209302325581395</v>
      </c>
      <c r="AU11">
        <v>8.7820112562387145</v>
      </c>
    </row>
    <row r="12" spans="1:50" x14ac:dyDescent="0.35">
      <c r="A12" s="16" t="s">
        <v>26</v>
      </c>
      <c r="B12" s="32">
        <v>44</v>
      </c>
      <c r="C12" s="32">
        <v>3</v>
      </c>
      <c r="D12" s="162">
        <v>6.8181818181818177E-2</v>
      </c>
      <c r="E12" s="162"/>
      <c r="F12" s="32">
        <v>36</v>
      </c>
      <c r="G12" s="32">
        <v>2</v>
      </c>
      <c r="H12" s="224">
        <v>5.5555555555555552E-2</v>
      </c>
      <c r="I12" s="32">
        <v>1</v>
      </c>
      <c r="J12" s="162">
        <v>2.7777777777777776E-2</v>
      </c>
      <c r="K12" s="162"/>
      <c r="L12" s="32">
        <v>36</v>
      </c>
      <c r="M12" s="32">
        <v>2</v>
      </c>
      <c r="N12" s="224">
        <v>5.5555555555555552E-2</v>
      </c>
      <c r="O12" s="32">
        <v>1</v>
      </c>
      <c r="P12" s="162">
        <v>2.7777777777777776E-2</v>
      </c>
      <c r="Q12" s="162"/>
      <c r="R12" s="32">
        <v>46</v>
      </c>
      <c r="S12" s="32">
        <v>2</v>
      </c>
      <c r="T12" s="224">
        <v>4.3478260869565216E-2</v>
      </c>
      <c r="U12" s="32">
        <v>1</v>
      </c>
      <c r="V12" s="162">
        <v>2.1739130434782608E-2</v>
      </c>
      <c r="W12" s="162"/>
      <c r="X12" s="97">
        <v>46</v>
      </c>
      <c r="Y12" s="97">
        <v>2</v>
      </c>
      <c r="Z12" s="268">
        <f>Y12/X12</f>
        <v>4.3478260869565216E-2</v>
      </c>
      <c r="AA12" s="97">
        <v>1</v>
      </c>
      <c r="AB12" s="268">
        <f t="shared" si="1"/>
        <v>2.1739130434782608E-2</v>
      </c>
      <c r="AC12" s="155" t="str">
        <f t="shared" si="0"/>
        <v>OK</v>
      </c>
      <c r="AD12" t="s">
        <v>26</v>
      </c>
      <c r="AE12">
        <v>46</v>
      </c>
      <c r="AG12">
        <v>16</v>
      </c>
      <c r="AH12">
        <v>0.34782608695652173</v>
      </c>
      <c r="AJ12">
        <v>8.2067301965455766</v>
      </c>
      <c r="AL12">
        <v>2</v>
      </c>
      <c r="AM12" s="308">
        <v>4.3478260869565216E-2</v>
      </c>
      <c r="AO12">
        <v>1</v>
      </c>
      <c r="AP12" s="308">
        <v>2.1739130434782608E-2</v>
      </c>
      <c r="AU12">
        <v>9.8054794520547901</v>
      </c>
    </row>
    <row r="13" spans="1:50" x14ac:dyDescent="0.35">
      <c r="A13" t="s">
        <v>306</v>
      </c>
      <c r="B13" s="32">
        <v>85</v>
      </c>
      <c r="C13" s="32">
        <v>82</v>
      </c>
      <c r="D13" s="162">
        <v>0.96470588235294119</v>
      </c>
      <c r="E13" s="162"/>
      <c r="F13" s="32">
        <v>92</v>
      </c>
      <c r="G13" s="32">
        <v>87</v>
      </c>
      <c r="H13" s="224">
        <v>0.94565217391304346</v>
      </c>
      <c r="I13" s="32">
        <v>82</v>
      </c>
      <c r="J13" s="162">
        <v>0.89130434782608692</v>
      </c>
      <c r="K13" s="162"/>
      <c r="L13" s="32">
        <v>98</v>
      </c>
      <c r="M13" s="32"/>
      <c r="N13" s="224"/>
      <c r="O13" s="32">
        <v>82</v>
      </c>
      <c r="P13" s="162">
        <v>0.83673469387755106</v>
      </c>
      <c r="Q13" s="162"/>
      <c r="R13" s="32">
        <v>114</v>
      </c>
      <c r="S13" s="32"/>
      <c r="T13" s="224"/>
      <c r="U13" s="32">
        <v>82</v>
      </c>
      <c r="V13" s="162">
        <v>0.7192982456140351</v>
      </c>
      <c r="W13" s="162"/>
      <c r="X13" s="97">
        <v>108</v>
      </c>
      <c r="Y13" s="97"/>
      <c r="Z13" s="268"/>
      <c r="AA13" s="97">
        <v>73</v>
      </c>
      <c r="AB13" s="268">
        <f t="shared" si="1"/>
        <v>0.67592592592592593</v>
      </c>
      <c r="AC13" s="155" t="str">
        <f t="shared" si="0"/>
        <v>OK</v>
      </c>
      <c r="AD13" t="s">
        <v>306</v>
      </c>
      <c r="AE13">
        <v>108</v>
      </c>
      <c r="AJ13">
        <v>7.0950252343186815</v>
      </c>
      <c r="AO13">
        <v>73</v>
      </c>
      <c r="AP13" s="308">
        <v>0.67592592592592593</v>
      </c>
      <c r="AU13">
        <v>8.3643835616438409</v>
      </c>
    </row>
    <row r="14" spans="1:50" x14ac:dyDescent="0.35">
      <c r="A14" s="16" t="s">
        <v>3</v>
      </c>
      <c r="B14" s="32">
        <v>52</v>
      </c>
      <c r="C14" s="32"/>
      <c r="D14" s="162"/>
      <c r="E14" s="162"/>
      <c r="F14" s="32">
        <v>51</v>
      </c>
      <c r="G14" s="32">
        <v>24</v>
      </c>
      <c r="H14" s="224">
        <v>0.47058823529411764</v>
      </c>
      <c r="I14" s="32"/>
      <c r="J14" s="162"/>
      <c r="K14" s="162"/>
      <c r="L14" s="32">
        <v>53</v>
      </c>
      <c r="M14" s="32">
        <v>21</v>
      </c>
      <c r="N14" s="224">
        <v>0.39622641509433965</v>
      </c>
      <c r="O14" s="32"/>
      <c r="P14" s="162"/>
      <c r="Q14" s="162"/>
      <c r="R14" s="32">
        <v>53</v>
      </c>
      <c r="S14" s="32">
        <v>16</v>
      </c>
      <c r="T14" s="224">
        <v>0.30188679245283018</v>
      </c>
      <c r="U14" s="32"/>
      <c r="V14" s="162"/>
      <c r="W14" s="162"/>
      <c r="X14" s="97">
        <v>156</v>
      </c>
      <c r="Y14" s="97">
        <v>16</v>
      </c>
      <c r="Z14" s="268">
        <f>Y14/X14</f>
        <v>0.10256410256410256</v>
      </c>
      <c r="AA14" s="97">
        <v>2</v>
      </c>
      <c r="AB14" s="268">
        <f t="shared" si="1"/>
        <v>1.282051282051282E-2</v>
      </c>
      <c r="AC14" s="155" t="str">
        <f t="shared" si="0"/>
        <v>OK</v>
      </c>
      <c r="AD14" t="s">
        <v>3</v>
      </c>
      <c r="AE14">
        <v>156</v>
      </c>
      <c r="AG14">
        <v>17</v>
      </c>
      <c r="AH14">
        <v>0.32075471698113206</v>
      </c>
      <c r="AJ14">
        <v>8.5549754458516407</v>
      </c>
      <c r="AL14">
        <v>16</v>
      </c>
      <c r="AM14" s="308">
        <v>0.10256410256410256</v>
      </c>
      <c r="AO14">
        <v>2</v>
      </c>
      <c r="AP14" s="308">
        <v>1.282051282051282E-2</v>
      </c>
    </row>
    <row r="15" spans="1:50" x14ac:dyDescent="0.35">
      <c r="A15" s="16" t="s">
        <v>22</v>
      </c>
      <c r="B15" s="32">
        <v>1788</v>
      </c>
      <c r="C15" s="32">
        <v>4</v>
      </c>
      <c r="D15" s="162">
        <v>2.2371364653243847E-3</v>
      </c>
      <c r="E15" s="162"/>
      <c r="F15" s="32">
        <v>1698</v>
      </c>
      <c r="G15" s="32">
        <v>275</v>
      </c>
      <c r="H15" s="224">
        <v>0.16195524146054183</v>
      </c>
      <c r="I15" s="32">
        <v>5</v>
      </c>
      <c r="J15" s="162">
        <v>2.9446407538280331E-3</v>
      </c>
      <c r="K15" s="162"/>
      <c r="L15" s="32">
        <v>1915</v>
      </c>
      <c r="M15" s="32">
        <v>263</v>
      </c>
      <c r="N15" s="224">
        <v>0.13733681462140993</v>
      </c>
      <c r="O15" s="32">
        <v>5</v>
      </c>
      <c r="P15" s="162">
        <v>2.6109660574412533E-3</v>
      </c>
      <c r="Q15" s="162"/>
      <c r="R15" s="32">
        <v>1808</v>
      </c>
      <c r="S15" s="32">
        <v>108</v>
      </c>
      <c r="T15" s="224">
        <v>5.9734513274336286E-2</v>
      </c>
      <c r="U15" s="32"/>
      <c r="V15" s="162"/>
      <c r="W15" s="162"/>
      <c r="X15" s="97">
        <v>1724</v>
      </c>
      <c r="Y15" s="97">
        <v>108</v>
      </c>
      <c r="Z15" s="268">
        <f>Y15/X15</f>
        <v>6.2645011600928072E-2</v>
      </c>
      <c r="AA15" s="97"/>
      <c r="AB15" s="268"/>
      <c r="AC15" s="155" t="str">
        <f t="shared" si="0"/>
        <v>OK</v>
      </c>
      <c r="AD15" t="s">
        <v>22</v>
      </c>
      <c r="AE15">
        <v>1724</v>
      </c>
      <c r="AG15">
        <v>248</v>
      </c>
      <c r="AH15">
        <v>0.13716814159292035</v>
      </c>
      <c r="AJ15">
        <v>5.4175248514971397</v>
      </c>
      <c r="AL15">
        <v>108</v>
      </c>
      <c r="AM15" s="308">
        <v>6.2645011600928072E-2</v>
      </c>
    </row>
    <row r="16" spans="1:50" x14ac:dyDescent="0.35">
      <c r="A16" s="16" t="s">
        <v>23</v>
      </c>
      <c r="B16" s="32">
        <v>61</v>
      </c>
      <c r="C16" s="32"/>
      <c r="D16" s="162"/>
      <c r="E16" s="162"/>
      <c r="F16" s="32">
        <v>57</v>
      </c>
      <c r="G16" s="32">
        <v>19</v>
      </c>
      <c r="H16" s="224">
        <v>0.33333333333333331</v>
      </c>
      <c r="I16" s="32"/>
      <c r="J16" s="162"/>
      <c r="K16" s="162"/>
      <c r="L16" s="32">
        <v>70</v>
      </c>
      <c r="M16" s="32">
        <v>2</v>
      </c>
      <c r="N16" s="224">
        <v>2.8571428571428571E-2</v>
      </c>
      <c r="O16" s="32"/>
      <c r="P16" s="162"/>
      <c r="Q16" s="162"/>
      <c r="R16" s="32">
        <v>72</v>
      </c>
      <c r="S16" s="32">
        <v>1</v>
      </c>
      <c r="T16" s="224">
        <v>1.3888888888888888E-2</v>
      </c>
      <c r="U16" s="32"/>
      <c r="V16" s="162"/>
      <c r="W16" s="162"/>
      <c r="X16" s="97">
        <v>77</v>
      </c>
      <c r="Y16" s="97">
        <v>1</v>
      </c>
      <c r="Z16" s="268">
        <f>Y16/X16</f>
        <v>1.2987012987012988E-2</v>
      </c>
      <c r="AA16" s="97"/>
      <c r="AB16" s="268"/>
      <c r="AC16" s="155" t="str">
        <f t="shared" si="0"/>
        <v>OK</v>
      </c>
      <c r="AD16" t="s">
        <v>23</v>
      </c>
      <c r="AE16">
        <v>77</v>
      </c>
      <c r="AG16">
        <v>21</v>
      </c>
      <c r="AH16">
        <v>0.29166666666666669</v>
      </c>
      <c r="AJ16">
        <v>8.6592465753424719</v>
      </c>
      <c r="AL16">
        <v>1</v>
      </c>
      <c r="AM16" s="308">
        <v>1.2987012987012988E-2</v>
      </c>
    </row>
    <row r="17" spans="1:50" x14ac:dyDescent="0.35">
      <c r="A17" s="16" t="s">
        <v>4</v>
      </c>
      <c r="B17" s="32">
        <v>8</v>
      </c>
      <c r="C17" s="32">
        <v>2</v>
      </c>
      <c r="D17" s="162">
        <v>0.25</v>
      </c>
      <c r="E17" s="162"/>
      <c r="F17" s="32">
        <v>7</v>
      </c>
      <c r="G17" s="32">
        <v>6</v>
      </c>
      <c r="H17" s="224">
        <v>0.8571428571428571</v>
      </c>
      <c r="I17" s="32">
        <v>1</v>
      </c>
      <c r="J17" s="162">
        <v>0.14285714285714285</v>
      </c>
      <c r="K17" s="162"/>
      <c r="L17" s="32">
        <v>7</v>
      </c>
      <c r="M17" s="32">
        <v>6</v>
      </c>
      <c r="N17" s="224">
        <v>0.8571428571428571</v>
      </c>
      <c r="O17" s="32">
        <v>1</v>
      </c>
      <c r="P17" s="162">
        <v>0.14285714285714285</v>
      </c>
      <c r="Q17" s="162"/>
      <c r="R17" s="32">
        <v>1</v>
      </c>
      <c r="S17" s="32"/>
      <c r="T17" s="224"/>
      <c r="U17" s="32"/>
      <c r="V17" s="162"/>
      <c r="W17" s="162"/>
      <c r="X17" s="97">
        <v>3</v>
      </c>
      <c r="Y17" s="97"/>
      <c r="Z17" s="268"/>
      <c r="AA17" s="97"/>
      <c r="AB17" s="268"/>
      <c r="AC17" s="155" t="str">
        <f t="shared" si="0"/>
        <v>OK</v>
      </c>
      <c r="AD17" t="s">
        <v>4</v>
      </c>
      <c r="AE17">
        <v>3</v>
      </c>
      <c r="AG17">
        <v>1</v>
      </c>
      <c r="AH17">
        <v>1</v>
      </c>
      <c r="AJ17">
        <v>13.446575342465801</v>
      </c>
      <c r="AU17">
        <v>9.0328767123287701</v>
      </c>
    </row>
    <row r="18" spans="1:50" x14ac:dyDescent="0.35">
      <c r="A18" s="16" t="s">
        <v>6</v>
      </c>
      <c r="B18" s="32">
        <v>158</v>
      </c>
      <c r="C18" s="32">
        <v>36</v>
      </c>
      <c r="D18" s="162">
        <v>0.22784810126582278</v>
      </c>
      <c r="E18" s="162"/>
      <c r="F18" s="32">
        <v>157</v>
      </c>
      <c r="G18" s="32">
        <v>148</v>
      </c>
      <c r="H18" s="224">
        <v>0.9426751592356688</v>
      </c>
      <c r="I18" s="32">
        <v>37</v>
      </c>
      <c r="J18" s="162">
        <v>0.2356687898089172</v>
      </c>
      <c r="K18" s="162"/>
      <c r="L18" s="32">
        <v>178</v>
      </c>
      <c r="M18" s="32">
        <v>6</v>
      </c>
      <c r="N18" s="224">
        <v>3.3707865168539325E-2</v>
      </c>
      <c r="O18" s="32">
        <v>43</v>
      </c>
      <c r="P18" s="162">
        <v>0.24157303370786518</v>
      </c>
      <c r="Q18" s="162"/>
      <c r="R18" s="32">
        <v>169</v>
      </c>
      <c r="S18" s="32"/>
      <c r="T18" s="224"/>
      <c r="U18" s="32">
        <v>43</v>
      </c>
      <c r="V18" s="162">
        <v>0.25443786982248523</v>
      </c>
      <c r="W18" s="162"/>
      <c r="X18" s="97">
        <v>173</v>
      </c>
      <c r="Y18" s="97"/>
      <c r="Z18" s="268"/>
      <c r="AA18" s="97">
        <v>47</v>
      </c>
      <c r="AB18" s="268">
        <f>AA18/X18</f>
        <v>0.27167630057803466</v>
      </c>
      <c r="AC18" s="155" t="str">
        <f t="shared" si="0"/>
        <v>OK</v>
      </c>
      <c r="AD18" t="s">
        <v>6</v>
      </c>
      <c r="AE18">
        <v>173</v>
      </c>
      <c r="AO18">
        <v>47</v>
      </c>
      <c r="AP18" s="308">
        <v>0.27167630057803466</v>
      </c>
    </row>
    <row r="19" spans="1:50" x14ac:dyDescent="0.35">
      <c r="A19" s="16" t="s">
        <v>5</v>
      </c>
      <c r="B19" s="32">
        <v>31</v>
      </c>
      <c r="C19" s="32"/>
      <c r="D19" s="162"/>
      <c r="E19" s="162"/>
      <c r="F19" s="32">
        <v>19</v>
      </c>
      <c r="G19" s="32"/>
      <c r="H19" s="224"/>
      <c r="I19" s="32"/>
      <c r="J19" s="162"/>
      <c r="K19" s="162"/>
      <c r="L19" s="32">
        <v>24</v>
      </c>
      <c r="M19" s="32"/>
      <c r="N19" s="224"/>
      <c r="O19" s="32"/>
      <c r="P19" s="162"/>
      <c r="Q19" s="162"/>
      <c r="R19" s="32">
        <v>31</v>
      </c>
      <c r="S19" s="32"/>
      <c r="T19" s="224"/>
      <c r="U19" s="32"/>
      <c r="V19" s="162"/>
      <c r="W19" s="162"/>
      <c r="X19" s="97">
        <v>31</v>
      </c>
      <c r="Y19" s="97"/>
      <c r="Z19" s="268"/>
      <c r="AA19" s="97"/>
      <c r="AB19" s="268"/>
      <c r="AC19" s="155" t="str">
        <f t="shared" si="0"/>
        <v>OK</v>
      </c>
      <c r="AD19" t="s">
        <v>5</v>
      </c>
      <c r="AE19">
        <v>31</v>
      </c>
      <c r="AG19">
        <v>33</v>
      </c>
      <c r="AH19">
        <v>0.19526627218934911</v>
      </c>
      <c r="AJ19">
        <v>6.9910675204668875</v>
      </c>
      <c r="AR19">
        <v>5</v>
      </c>
      <c r="AS19">
        <v>0.11363636363636363</v>
      </c>
      <c r="AU19">
        <v>6.2925902864259031</v>
      </c>
    </row>
    <row r="20" spans="1:50" x14ac:dyDescent="0.35">
      <c r="A20" s="16" t="s">
        <v>24</v>
      </c>
      <c r="B20" s="32"/>
      <c r="C20" s="32"/>
      <c r="D20" s="162"/>
      <c r="E20" s="162"/>
      <c r="F20" s="32"/>
      <c r="G20" s="32"/>
      <c r="H20" s="224"/>
      <c r="I20" s="32"/>
      <c r="J20" s="162"/>
      <c r="K20" s="162"/>
      <c r="L20" s="32"/>
      <c r="M20" s="32"/>
      <c r="N20" s="224"/>
      <c r="O20" s="32"/>
      <c r="P20" s="162"/>
      <c r="Q20" s="162"/>
      <c r="R20" s="32"/>
      <c r="S20" s="32"/>
      <c r="T20" s="224"/>
      <c r="U20" s="32"/>
      <c r="V20" s="162"/>
      <c r="W20" s="162"/>
      <c r="X20" s="97"/>
      <c r="Y20" s="97"/>
      <c r="Z20" s="268"/>
      <c r="AA20" s="97"/>
      <c r="AB20" s="268"/>
      <c r="AC20" s="155" t="str">
        <f t="shared" si="0"/>
        <v>OK</v>
      </c>
      <c r="AD20" t="s">
        <v>24</v>
      </c>
      <c r="AG20">
        <v>1</v>
      </c>
      <c r="AH20">
        <v>3.2258064516129031E-2</v>
      </c>
      <c r="AJ20">
        <v>5.4996906760936852</v>
      </c>
    </row>
    <row r="21" spans="1:50" x14ac:dyDescent="0.35">
      <c r="A21" s="16" t="s">
        <v>7</v>
      </c>
      <c r="B21" s="32">
        <v>32</v>
      </c>
      <c r="C21" s="32">
        <v>1</v>
      </c>
      <c r="D21" s="162">
        <v>3.125E-2</v>
      </c>
      <c r="E21" s="162"/>
      <c r="F21" s="32">
        <v>34</v>
      </c>
      <c r="G21" s="32"/>
      <c r="H21" s="224"/>
      <c r="I21" s="32"/>
      <c r="J21" s="162"/>
      <c r="K21" s="162"/>
      <c r="L21" s="32">
        <v>31</v>
      </c>
      <c r="M21" s="32"/>
      <c r="N21" s="224"/>
      <c r="O21" s="32"/>
      <c r="P21" s="162"/>
      <c r="Q21" s="162"/>
      <c r="R21" s="32">
        <v>33</v>
      </c>
      <c r="S21" s="32"/>
      <c r="T21" s="224"/>
      <c r="U21" s="32"/>
      <c r="V21" s="162"/>
      <c r="W21" s="162"/>
      <c r="X21" s="97">
        <v>32</v>
      </c>
      <c r="Y21" s="97"/>
      <c r="Z21" s="268"/>
      <c r="AA21" s="97"/>
      <c r="AB21" s="268"/>
      <c r="AC21" s="155" t="str">
        <f t="shared" si="0"/>
        <v>OK</v>
      </c>
      <c r="AD21" t="s">
        <v>7</v>
      </c>
      <c r="AE21">
        <v>32</v>
      </c>
    </row>
    <row r="22" spans="1:50" x14ac:dyDescent="0.35">
      <c r="A22" s="16" t="s">
        <v>8</v>
      </c>
      <c r="B22" s="32">
        <v>455</v>
      </c>
      <c r="C22" s="32">
        <v>122</v>
      </c>
      <c r="D22" s="162">
        <v>0.26813186813186812</v>
      </c>
      <c r="E22" s="162"/>
      <c r="F22" s="32">
        <v>490</v>
      </c>
      <c r="G22" s="32">
        <v>386</v>
      </c>
      <c r="H22" s="224">
        <v>0.78775510204081634</v>
      </c>
      <c r="I22" s="32">
        <v>121</v>
      </c>
      <c r="J22" s="162">
        <v>0.24693877551020407</v>
      </c>
      <c r="K22" s="162"/>
      <c r="L22" s="32">
        <v>518</v>
      </c>
      <c r="M22" s="32">
        <v>2</v>
      </c>
      <c r="N22" s="224">
        <v>3.8610038610038611E-3</v>
      </c>
      <c r="O22" s="32">
        <v>128</v>
      </c>
      <c r="P22" s="162">
        <v>0.24710424710424711</v>
      </c>
      <c r="Q22" s="162"/>
      <c r="R22" s="32">
        <v>554</v>
      </c>
      <c r="S22" s="32">
        <v>2</v>
      </c>
      <c r="T22" s="224">
        <v>3.6101083032490976E-3</v>
      </c>
      <c r="U22" s="32">
        <v>137</v>
      </c>
      <c r="V22" s="162">
        <v>0.24729241877256317</v>
      </c>
      <c r="W22" s="162"/>
      <c r="X22" s="97">
        <v>603</v>
      </c>
      <c r="Y22" s="97">
        <v>2</v>
      </c>
      <c r="Z22" s="268">
        <f>Y22/X22</f>
        <v>3.3167495854063019E-3</v>
      </c>
      <c r="AA22" s="97">
        <v>153</v>
      </c>
      <c r="AB22" s="268">
        <f>AA22/X22</f>
        <v>0.2537313432835821</v>
      </c>
      <c r="AC22" s="155" t="str">
        <f t="shared" si="0"/>
        <v>OK</v>
      </c>
      <c r="AD22" t="s">
        <v>8</v>
      </c>
      <c r="AE22">
        <v>603</v>
      </c>
      <c r="AG22">
        <v>22</v>
      </c>
      <c r="AH22">
        <v>0.66666666666666663</v>
      </c>
      <c r="AJ22">
        <v>14.49331672893315</v>
      </c>
      <c r="AL22">
        <v>2</v>
      </c>
      <c r="AM22" s="308">
        <v>3.3167495854063019E-3</v>
      </c>
      <c r="AO22">
        <v>153</v>
      </c>
      <c r="AP22" s="308">
        <v>0.2537313432835821</v>
      </c>
    </row>
    <row r="23" spans="1:50" x14ac:dyDescent="0.35">
      <c r="A23" s="16" t="s">
        <v>19</v>
      </c>
      <c r="B23" s="32">
        <v>6861</v>
      </c>
      <c r="C23" s="32">
        <v>1799</v>
      </c>
      <c r="D23" s="162">
        <v>0.26220667541174758</v>
      </c>
      <c r="E23" s="162"/>
      <c r="F23" s="32">
        <v>7478</v>
      </c>
      <c r="G23" s="32">
        <v>2668</v>
      </c>
      <c r="H23" s="224">
        <v>0.35677988767050012</v>
      </c>
      <c r="I23" s="32">
        <v>1812</v>
      </c>
      <c r="J23" s="162">
        <v>0.24231077828296335</v>
      </c>
      <c r="K23" s="162"/>
      <c r="L23" s="32">
        <v>7811</v>
      </c>
      <c r="M23" s="32">
        <v>476</v>
      </c>
      <c r="N23" s="224">
        <v>6.0939700422481119E-2</v>
      </c>
      <c r="O23" s="32">
        <v>1910</v>
      </c>
      <c r="P23" s="162">
        <v>0.24452694917424145</v>
      </c>
      <c r="Q23" s="162"/>
      <c r="R23" s="32">
        <v>8016</v>
      </c>
      <c r="S23" s="32">
        <v>273</v>
      </c>
      <c r="T23" s="224">
        <v>3.4056886227544908E-2</v>
      </c>
      <c r="U23" s="32">
        <v>1937</v>
      </c>
      <c r="V23" s="162">
        <v>0.24164171656686625</v>
      </c>
      <c r="W23" s="162"/>
      <c r="X23" s="97">
        <v>8373</v>
      </c>
      <c r="Y23" s="97">
        <v>284</v>
      </c>
      <c r="Z23" s="268">
        <f>Y23/X23</f>
        <v>3.391854771288666E-2</v>
      </c>
      <c r="AA23" s="97">
        <v>2015</v>
      </c>
      <c r="AB23" s="268">
        <f>AA23/X23</f>
        <v>0.24065448465305148</v>
      </c>
      <c r="AC23" s="155" t="str">
        <f t="shared" si="0"/>
        <v>OK</v>
      </c>
      <c r="AD23" t="s">
        <v>19</v>
      </c>
      <c r="AE23">
        <v>8373</v>
      </c>
      <c r="AG23">
        <v>228</v>
      </c>
      <c r="AH23">
        <v>0.41155234657039713</v>
      </c>
      <c r="AJ23">
        <v>8.1754611542455944</v>
      </c>
      <c r="AL23">
        <v>284</v>
      </c>
      <c r="AM23" s="308">
        <v>3.391854771288666E-2</v>
      </c>
      <c r="AO23">
        <v>2015</v>
      </c>
      <c r="AP23" s="308">
        <v>0.24065448465305148</v>
      </c>
      <c r="AR23">
        <v>37</v>
      </c>
      <c r="AS23">
        <v>0.27007299270072993</v>
      </c>
      <c r="AU23">
        <v>6.8463953604639487</v>
      </c>
    </row>
    <row r="24" spans="1:50" x14ac:dyDescent="0.35">
      <c r="A24" s="16" t="s">
        <v>20</v>
      </c>
      <c r="B24" s="32"/>
      <c r="C24" s="32"/>
      <c r="D24" s="162"/>
      <c r="E24" s="162"/>
      <c r="F24" s="32"/>
      <c r="G24" s="32"/>
      <c r="H24" s="224"/>
      <c r="I24" s="32"/>
      <c r="J24" s="162"/>
      <c r="K24" s="162"/>
      <c r="L24" s="32"/>
      <c r="M24" s="32"/>
      <c r="N24" s="224"/>
      <c r="O24" s="32"/>
      <c r="P24" s="162"/>
      <c r="Q24" s="162"/>
      <c r="R24" s="32"/>
      <c r="S24" s="32"/>
      <c r="T24" s="224"/>
      <c r="U24" s="32"/>
      <c r="V24" s="162"/>
      <c r="W24" s="162"/>
      <c r="X24" s="97"/>
      <c r="Y24" s="97"/>
      <c r="Z24" s="268"/>
      <c r="AA24" s="97"/>
      <c r="AB24" s="268"/>
      <c r="AC24" s="155" t="str">
        <f t="shared" si="0"/>
        <v>OK</v>
      </c>
      <c r="AD24" t="s">
        <v>20</v>
      </c>
      <c r="AG24">
        <v>3587</v>
      </c>
      <c r="AH24">
        <v>0.44748003992015967</v>
      </c>
      <c r="AJ24">
        <v>9.8970541793126081</v>
      </c>
      <c r="AR24">
        <v>889</v>
      </c>
      <c r="AS24">
        <v>0.4584837545126354</v>
      </c>
      <c r="AU24">
        <v>9.5854733763342992</v>
      </c>
      <c r="AW24">
        <v>63</v>
      </c>
      <c r="AX24">
        <v>7.8700811992504678E-3</v>
      </c>
    </row>
    <row r="25" spans="1:50" x14ac:dyDescent="0.35">
      <c r="A25" s="16" t="s">
        <v>27</v>
      </c>
      <c r="B25" s="32">
        <v>7</v>
      </c>
      <c r="C25" s="32"/>
      <c r="D25" s="162"/>
      <c r="E25" s="162"/>
      <c r="F25" s="32">
        <v>7</v>
      </c>
      <c r="G25" s="32">
        <v>7</v>
      </c>
      <c r="H25" s="224">
        <v>1</v>
      </c>
      <c r="I25" s="32"/>
      <c r="J25" s="162"/>
      <c r="K25" s="162"/>
      <c r="L25" s="32">
        <v>7</v>
      </c>
      <c r="M25" s="32">
        <v>7</v>
      </c>
      <c r="N25" s="224">
        <v>1</v>
      </c>
      <c r="O25" s="32"/>
      <c r="P25" s="162"/>
      <c r="Q25" s="162"/>
      <c r="R25" s="32">
        <v>7</v>
      </c>
      <c r="S25" s="32"/>
      <c r="T25" s="224"/>
      <c r="U25" s="32"/>
      <c r="V25" s="162"/>
      <c r="W25" s="162"/>
      <c r="X25" s="97">
        <v>7</v>
      </c>
      <c r="Y25" s="97"/>
      <c r="Z25" s="268"/>
      <c r="AA25" s="97"/>
      <c r="AB25" s="268"/>
      <c r="AC25" s="155" t="str">
        <f t="shared" si="0"/>
        <v>OK</v>
      </c>
      <c r="AD25" t="s">
        <v>27</v>
      </c>
      <c r="AE25">
        <v>7</v>
      </c>
    </row>
    <row r="26" spans="1:50" x14ac:dyDescent="0.35">
      <c r="A26" s="16" t="s">
        <v>9</v>
      </c>
      <c r="B26" s="32">
        <v>8</v>
      </c>
      <c r="C26" s="32"/>
      <c r="D26" s="162"/>
      <c r="E26" s="162"/>
      <c r="F26" s="32">
        <v>7</v>
      </c>
      <c r="G26" s="32">
        <v>3</v>
      </c>
      <c r="H26" s="224">
        <v>0.42857142857142855</v>
      </c>
      <c r="I26" s="32"/>
      <c r="J26" s="162"/>
      <c r="K26" s="162"/>
      <c r="L26" s="32">
        <v>7</v>
      </c>
      <c r="M26" s="32"/>
      <c r="N26" s="224"/>
      <c r="O26" s="32"/>
      <c r="P26" s="162"/>
      <c r="Q26" s="162"/>
      <c r="R26" s="32">
        <v>6</v>
      </c>
      <c r="S26" s="32"/>
      <c r="T26" s="224"/>
      <c r="U26" s="32"/>
      <c r="V26" s="162"/>
      <c r="W26" s="162"/>
      <c r="X26" s="97">
        <v>7</v>
      </c>
      <c r="Y26" s="97"/>
      <c r="Z26" s="268"/>
      <c r="AA26" s="97"/>
      <c r="AB26" s="268"/>
      <c r="AC26" s="155" t="str">
        <f t="shared" si="0"/>
        <v>OK</v>
      </c>
      <c r="AD26" t="s">
        <v>9</v>
      </c>
      <c r="AE26">
        <v>7</v>
      </c>
      <c r="AG26">
        <v>7</v>
      </c>
      <c r="AH26">
        <v>1</v>
      </c>
      <c r="AJ26">
        <v>13.0450097847358</v>
      </c>
    </row>
    <row r="27" spans="1:50" x14ac:dyDescent="0.35">
      <c r="A27" s="16" t="s">
        <v>342</v>
      </c>
      <c r="B27" s="32">
        <v>136</v>
      </c>
      <c r="C27" s="32"/>
      <c r="D27" s="162"/>
      <c r="E27" s="162"/>
      <c r="F27" s="32">
        <v>161</v>
      </c>
      <c r="G27" s="32">
        <v>28</v>
      </c>
      <c r="H27" s="224">
        <v>0.17391304347826086</v>
      </c>
      <c r="I27" s="32">
        <v>2</v>
      </c>
      <c r="J27" s="162">
        <v>1.2422360248447204E-2</v>
      </c>
      <c r="K27" s="162"/>
      <c r="L27" s="32">
        <v>202</v>
      </c>
      <c r="M27" s="32">
        <v>2</v>
      </c>
      <c r="N27" s="224">
        <v>9.9009900990099011E-3</v>
      </c>
      <c r="O27" s="32">
        <v>2</v>
      </c>
      <c r="P27" s="162">
        <v>9.9009900990099011E-3</v>
      </c>
      <c r="Q27" s="162"/>
      <c r="R27" s="32">
        <v>180</v>
      </c>
      <c r="S27" s="32">
        <v>1</v>
      </c>
      <c r="T27" s="224">
        <v>5.5555555555555558E-3</v>
      </c>
      <c r="U27" s="32">
        <v>2</v>
      </c>
      <c r="V27" s="162">
        <v>1.1111111111111112E-2</v>
      </c>
      <c r="W27" s="162"/>
      <c r="X27" s="97">
        <v>179</v>
      </c>
      <c r="Y27" s="97">
        <v>1</v>
      </c>
      <c r="Z27" s="268">
        <f>Y27/X27</f>
        <v>5.5865921787709499E-3</v>
      </c>
      <c r="AA27" s="97">
        <v>2</v>
      </c>
      <c r="AB27" s="268">
        <f t="shared" ref="AB27:AB32" si="2">AA27/X27</f>
        <v>1.11731843575419E-2</v>
      </c>
      <c r="AC27" s="155" t="str">
        <f t="shared" si="0"/>
        <v>OK</v>
      </c>
      <c r="AD27" t="s">
        <v>342</v>
      </c>
      <c r="AE27">
        <v>179</v>
      </c>
      <c r="AG27">
        <v>4</v>
      </c>
      <c r="AH27">
        <v>0.66666666666666663</v>
      </c>
      <c r="AJ27">
        <v>9.8018264840182336</v>
      </c>
      <c r="AL27">
        <v>1</v>
      </c>
      <c r="AM27" s="308">
        <v>5.5865921787709499E-3</v>
      </c>
      <c r="AO27">
        <v>2</v>
      </c>
      <c r="AP27" s="308">
        <v>1.11731843575419E-2</v>
      </c>
    </row>
    <row r="28" spans="1:50" x14ac:dyDescent="0.35">
      <c r="A28" s="16" t="s">
        <v>178</v>
      </c>
      <c r="B28" s="32">
        <v>58</v>
      </c>
      <c r="C28" s="32">
        <v>33</v>
      </c>
      <c r="D28" s="162">
        <v>0.56896551724137934</v>
      </c>
      <c r="E28" s="162"/>
      <c r="F28" s="32">
        <v>59</v>
      </c>
      <c r="G28" s="32">
        <v>7</v>
      </c>
      <c r="H28" s="224">
        <v>0.11864406779661017</v>
      </c>
      <c r="I28" s="32">
        <v>37</v>
      </c>
      <c r="J28" s="162">
        <v>0.6271186440677966</v>
      </c>
      <c r="K28" s="162"/>
      <c r="L28" s="32">
        <v>59</v>
      </c>
      <c r="M28" s="32">
        <v>8</v>
      </c>
      <c r="N28" s="224">
        <v>0.13559322033898305</v>
      </c>
      <c r="O28" s="32">
        <v>36</v>
      </c>
      <c r="P28" s="162">
        <v>0.61016949152542377</v>
      </c>
      <c r="Q28" s="162"/>
      <c r="R28" s="32">
        <v>61</v>
      </c>
      <c r="S28" s="32"/>
      <c r="T28" s="224"/>
      <c r="U28" s="32">
        <v>36</v>
      </c>
      <c r="V28" s="162">
        <v>0.5901639344262295</v>
      </c>
      <c r="W28" s="162"/>
      <c r="X28" s="97">
        <v>64</v>
      </c>
      <c r="Y28" s="97"/>
      <c r="Z28" s="268"/>
      <c r="AA28" s="97">
        <v>36</v>
      </c>
      <c r="AB28" s="268">
        <f t="shared" si="2"/>
        <v>0.5625</v>
      </c>
      <c r="AC28" s="155" t="str">
        <f t="shared" si="0"/>
        <v>OK</v>
      </c>
      <c r="AD28" t="s">
        <v>178</v>
      </c>
      <c r="AE28">
        <v>64</v>
      </c>
      <c r="AG28">
        <v>51</v>
      </c>
      <c r="AH28">
        <v>0.28333333333333333</v>
      </c>
      <c r="AJ28">
        <v>5.5555251141552455</v>
      </c>
      <c r="AO28">
        <v>36</v>
      </c>
      <c r="AP28" s="308">
        <v>0.5625</v>
      </c>
      <c r="AR28">
        <v>1</v>
      </c>
      <c r="AS28">
        <v>0.5</v>
      </c>
      <c r="AU28">
        <v>8.51917808219177</v>
      </c>
    </row>
    <row r="29" spans="1:50" x14ac:dyDescent="0.35">
      <c r="A29" s="16" t="s">
        <v>10</v>
      </c>
      <c r="B29" s="32">
        <v>616</v>
      </c>
      <c r="C29" s="32">
        <v>119</v>
      </c>
      <c r="D29" s="162">
        <v>0.19318181818181818</v>
      </c>
      <c r="E29" s="162"/>
      <c r="F29" s="32">
        <v>630</v>
      </c>
      <c r="G29" s="32">
        <v>144</v>
      </c>
      <c r="H29" s="224">
        <v>0.22857142857142856</v>
      </c>
      <c r="I29" s="32">
        <v>115</v>
      </c>
      <c r="J29" s="162">
        <v>0.18253968253968253</v>
      </c>
      <c r="K29" s="162"/>
      <c r="L29" s="32">
        <v>653</v>
      </c>
      <c r="M29" s="32">
        <v>38</v>
      </c>
      <c r="N29" s="224">
        <v>5.8192955589586523E-2</v>
      </c>
      <c r="O29" s="32">
        <v>120</v>
      </c>
      <c r="P29" s="162">
        <v>0.18376722817764166</v>
      </c>
      <c r="Q29" s="162"/>
      <c r="R29" s="32">
        <v>602</v>
      </c>
      <c r="S29" s="32">
        <v>12</v>
      </c>
      <c r="T29" s="224">
        <v>1.9933554817275746E-2</v>
      </c>
      <c r="U29" s="32">
        <v>120</v>
      </c>
      <c r="V29" s="162">
        <v>0.19933554817275748</v>
      </c>
      <c r="W29" s="162"/>
      <c r="X29" s="97">
        <v>530</v>
      </c>
      <c r="Y29" s="97">
        <v>12</v>
      </c>
      <c r="Z29" s="268">
        <f>Y29/X29</f>
        <v>2.2641509433962263E-2</v>
      </c>
      <c r="AA29" s="97">
        <v>119</v>
      </c>
      <c r="AB29" s="268">
        <f t="shared" si="2"/>
        <v>0.22452830188679246</v>
      </c>
      <c r="AC29" s="155" t="str">
        <f t="shared" si="0"/>
        <v>OK</v>
      </c>
      <c r="AD29" t="s">
        <v>10</v>
      </c>
      <c r="AE29">
        <v>530</v>
      </c>
      <c r="AG29">
        <v>27</v>
      </c>
      <c r="AH29">
        <v>0.44262295081967212</v>
      </c>
      <c r="AJ29">
        <v>11.651111610150451</v>
      </c>
      <c r="AL29">
        <v>12</v>
      </c>
      <c r="AM29" s="308">
        <v>2.2641509433962263E-2</v>
      </c>
      <c r="AO29">
        <v>119</v>
      </c>
      <c r="AP29" s="308">
        <v>0.22452830188679246</v>
      </c>
      <c r="AR29">
        <v>13</v>
      </c>
      <c r="AS29">
        <v>0.3611111111111111</v>
      </c>
      <c r="AU29">
        <v>10.3144596651446</v>
      </c>
    </row>
    <row r="30" spans="1:50" x14ac:dyDescent="0.35">
      <c r="A30" s="16" t="s">
        <v>11</v>
      </c>
      <c r="B30" s="32">
        <v>6</v>
      </c>
      <c r="C30" s="32">
        <v>2</v>
      </c>
      <c r="D30" s="162">
        <v>0.33333333333333331</v>
      </c>
      <c r="E30" s="162"/>
      <c r="F30" s="32">
        <v>5</v>
      </c>
      <c r="G30" s="32"/>
      <c r="H30" s="224"/>
      <c r="I30" s="32">
        <v>2</v>
      </c>
      <c r="J30" s="162">
        <v>0.4</v>
      </c>
      <c r="K30" s="162"/>
      <c r="L30" s="32">
        <v>5</v>
      </c>
      <c r="M30" s="32"/>
      <c r="N30" s="224"/>
      <c r="O30" s="32">
        <v>2</v>
      </c>
      <c r="P30" s="162">
        <v>0.4</v>
      </c>
      <c r="Q30" s="162"/>
      <c r="R30" s="32">
        <v>5</v>
      </c>
      <c r="S30" s="32"/>
      <c r="T30" s="224"/>
      <c r="U30" s="32">
        <v>2</v>
      </c>
      <c r="V30" s="162">
        <v>0.4</v>
      </c>
      <c r="W30" s="162"/>
      <c r="X30" s="97">
        <v>11</v>
      </c>
      <c r="Y30" s="97"/>
      <c r="Z30" s="268"/>
      <c r="AA30" s="97">
        <v>2</v>
      </c>
      <c r="AB30" s="268">
        <f t="shared" si="2"/>
        <v>0.18181818181818182</v>
      </c>
      <c r="AC30" s="155" t="str">
        <f t="shared" si="0"/>
        <v>OK</v>
      </c>
      <c r="AD30" t="s">
        <v>11</v>
      </c>
      <c r="AE30">
        <v>11</v>
      </c>
      <c r="AG30">
        <v>374</v>
      </c>
      <c r="AH30">
        <v>0.62126245847176076</v>
      </c>
      <c r="AJ30">
        <v>14.188335684703972</v>
      </c>
      <c r="AO30">
        <v>2</v>
      </c>
      <c r="AP30" s="308">
        <v>0.18181818181818182</v>
      </c>
      <c r="AR30">
        <v>63</v>
      </c>
      <c r="AS30">
        <v>0.52500000000000002</v>
      </c>
      <c r="AU30">
        <v>10.510251141552512</v>
      </c>
    </row>
    <row r="31" spans="1:50" x14ac:dyDescent="0.35">
      <c r="A31" s="16" t="s">
        <v>12</v>
      </c>
      <c r="B31" s="32">
        <v>27</v>
      </c>
      <c r="C31" s="32">
        <v>8</v>
      </c>
      <c r="D31" s="162">
        <v>0.29629629629629628</v>
      </c>
      <c r="E31" s="162"/>
      <c r="F31" s="32">
        <v>25</v>
      </c>
      <c r="G31" s="32">
        <v>22</v>
      </c>
      <c r="H31" s="224">
        <v>0.88</v>
      </c>
      <c r="I31" s="32">
        <v>8</v>
      </c>
      <c r="J31" s="162">
        <v>0.32</v>
      </c>
      <c r="K31" s="162"/>
      <c r="L31" s="32">
        <v>29</v>
      </c>
      <c r="M31" s="32">
        <v>5</v>
      </c>
      <c r="N31" s="224">
        <v>0.17241379310344829</v>
      </c>
      <c r="O31" s="32">
        <v>9</v>
      </c>
      <c r="P31" s="162">
        <v>0.31034482758620691</v>
      </c>
      <c r="Q31" s="162"/>
      <c r="R31" s="32">
        <v>25</v>
      </c>
      <c r="S31" s="32"/>
      <c r="T31" s="224"/>
      <c r="U31" s="32">
        <v>5</v>
      </c>
      <c r="V31" s="162">
        <v>0.2</v>
      </c>
      <c r="W31" s="162"/>
      <c r="X31" s="97">
        <v>26</v>
      </c>
      <c r="Y31" s="97"/>
      <c r="Z31" s="268"/>
      <c r="AA31" s="97">
        <v>6</v>
      </c>
      <c r="AB31" s="268">
        <f t="shared" si="2"/>
        <v>0.23076923076923078</v>
      </c>
      <c r="AC31" s="155" t="str">
        <f t="shared" si="0"/>
        <v>OK</v>
      </c>
      <c r="AD31" t="s">
        <v>12</v>
      </c>
      <c r="AE31">
        <v>26</v>
      </c>
      <c r="AG31">
        <v>1</v>
      </c>
      <c r="AH31">
        <v>0.2</v>
      </c>
      <c r="AJ31">
        <v>7.6597260273972578</v>
      </c>
      <c r="AO31">
        <v>6</v>
      </c>
      <c r="AP31" s="308">
        <v>0.23076923076923078</v>
      </c>
      <c r="AR31">
        <v>1</v>
      </c>
      <c r="AS31">
        <v>0.5</v>
      </c>
      <c r="AU31">
        <v>10.715068493150696</v>
      </c>
    </row>
    <row r="32" spans="1:50" x14ac:dyDescent="0.35">
      <c r="A32" s="16" t="s">
        <v>13</v>
      </c>
      <c r="B32" s="32">
        <v>133</v>
      </c>
      <c r="C32" s="32">
        <v>54</v>
      </c>
      <c r="D32" s="162">
        <v>0.40601503759398494</v>
      </c>
      <c r="E32" s="162"/>
      <c r="F32" s="32">
        <v>137</v>
      </c>
      <c r="G32" s="32">
        <v>1</v>
      </c>
      <c r="H32" s="224">
        <v>7.2992700729927005E-3</v>
      </c>
      <c r="I32" s="32">
        <v>42</v>
      </c>
      <c r="J32" s="162">
        <v>0.30656934306569344</v>
      </c>
      <c r="K32" s="162"/>
      <c r="L32" s="32">
        <v>116</v>
      </c>
      <c r="M32" s="32"/>
      <c r="N32" s="224"/>
      <c r="O32" s="32">
        <v>27</v>
      </c>
      <c r="P32" s="162">
        <v>0.23275862068965517</v>
      </c>
      <c r="Q32" s="162"/>
      <c r="R32" s="32">
        <v>106</v>
      </c>
      <c r="S32" s="32"/>
      <c r="T32" s="224"/>
      <c r="U32" s="32">
        <v>21</v>
      </c>
      <c r="V32" s="162">
        <v>0.19811320754716982</v>
      </c>
      <c r="W32" s="162"/>
      <c r="X32" s="97">
        <v>121</v>
      </c>
      <c r="Y32" s="97"/>
      <c r="Z32" s="268"/>
      <c r="AA32" s="97">
        <v>15</v>
      </c>
      <c r="AB32" s="268">
        <f t="shared" si="2"/>
        <v>0.12396694214876033</v>
      </c>
      <c r="AC32" s="155" t="str">
        <f t="shared" si="0"/>
        <v>OK</v>
      </c>
      <c r="AD32" t="s">
        <v>13</v>
      </c>
      <c r="AE32">
        <v>121</v>
      </c>
      <c r="AG32">
        <v>1</v>
      </c>
      <c r="AH32">
        <v>0.04</v>
      </c>
      <c r="AJ32">
        <v>4.4581917808219194</v>
      </c>
      <c r="AO32">
        <v>15</v>
      </c>
      <c r="AP32" s="308">
        <v>0.12396694214876033</v>
      </c>
      <c r="AU32">
        <v>6.0065753424657551</v>
      </c>
    </row>
    <row r="33" spans="1:50" x14ac:dyDescent="0.35">
      <c r="A33" s="16" t="s">
        <v>343</v>
      </c>
      <c r="B33" s="32">
        <v>179</v>
      </c>
      <c r="C33" s="32"/>
      <c r="D33" s="162"/>
      <c r="E33" s="162"/>
      <c r="F33" s="32">
        <v>212</v>
      </c>
      <c r="G33" s="32">
        <v>47</v>
      </c>
      <c r="H33" s="224">
        <v>0.22169811320754718</v>
      </c>
      <c r="I33" s="32"/>
      <c r="J33" s="162"/>
      <c r="K33" s="162"/>
      <c r="L33" s="32">
        <v>222</v>
      </c>
      <c r="M33" s="32">
        <v>14</v>
      </c>
      <c r="N33" s="224">
        <v>6.3063063063063057E-2</v>
      </c>
      <c r="O33" s="32"/>
      <c r="P33" s="162"/>
      <c r="Q33" s="162"/>
      <c r="R33" s="32">
        <v>225</v>
      </c>
      <c r="S33" s="32">
        <v>14</v>
      </c>
      <c r="T33" s="224">
        <v>6.222222222222222E-2</v>
      </c>
      <c r="U33" s="32"/>
      <c r="V33" s="162"/>
      <c r="W33" s="162"/>
      <c r="X33" s="97">
        <v>351</v>
      </c>
      <c r="Y33" s="97">
        <v>125</v>
      </c>
      <c r="Z33" s="268">
        <f>Y33/X33</f>
        <v>0.35612535612535612</v>
      </c>
      <c r="AA33" s="97"/>
      <c r="AB33" s="268"/>
      <c r="AC33" s="155" t="str">
        <f t="shared" si="0"/>
        <v>OK</v>
      </c>
      <c r="AD33" t="s">
        <v>343</v>
      </c>
      <c r="AE33">
        <v>351</v>
      </c>
      <c r="AG33">
        <v>48</v>
      </c>
      <c r="AH33">
        <v>0.45283018867924529</v>
      </c>
      <c r="AJ33">
        <v>10.89087619539932</v>
      </c>
      <c r="AL33">
        <v>125</v>
      </c>
      <c r="AM33" s="308">
        <v>0.35612535612535612</v>
      </c>
      <c r="AR33">
        <v>9</v>
      </c>
      <c r="AS33">
        <v>0.42857142857142855</v>
      </c>
      <c r="AU33">
        <v>8.7953033268101777</v>
      </c>
    </row>
    <row r="34" spans="1:50" x14ac:dyDescent="0.35">
      <c r="A34" s="16" t="s">
        <v>14</v>
      </c>
      <c r="B34" s="32">
        <v>27</v>
      </c>
      <c r="C34" s="32">
        <v>2</v>
      </c>
      <c r="D34" s="162">
        <v>7.407407407407407E-2</v>
      </c>
      <c r="E34" s="162"/>
      <c r="F34" s="32">
        <v>27</v>
      </c>
      <c r="G34" s="32">
        <v>2</v>
      </c>
      <c r="H34" s="224">
        <v>7.407407407407407E-2</v>
      </c>
      <c r="I34" s="32">
        <v>4</v>
      </c>
      <c r="J34" s="162">
        <v>0.14814814814814814</v>
      </c>
      <c r="K34" s="162"/>
      <c r="L34" s="32">
        <v>28</v>
      </c>
      <c r="M34" s="32">
        <v>2</v>
      </c>
      <c r="N34" s="224">
        <v>7.1428571428571425E-2</v>
      </c>
      <c r="O34" s="32">
        <v>4</v>
      </c>
      <c r="P34" s="162">
        <v>0.14285714285714285</v>
      </c>
      <c r="Q34" s="162"/>
      <c r="R34" s="32">
        <v>28</v>
      </c>
      <c r="S34" s="32"/>
      <c r="T34" s="224"/>
      <c r="U34" s="32">
        <v>4</v>
      </c>
      <c r="V34" s="162">
        <v>0.14285714285714285</v>
      </c>
      <c r="W34" s="162"/>
      <c r="X34" s="97">
        <v>28</v>
      </c>
      <c r="Y34" s="97"/>
      <c r="Z34" s="268"/>
      <c r="AA34" s="97">
        <v>4</v>
      </c>
      <c r="AB34" s="268">
        <f>AA34/X34</f>
        <v>0.14285714285714285</v>
      </c>
      <c r="AC34" s="155" t="str">
        <f t="shared" si="0"/>
        <v>OK</v>
      </c>
      <c r="AD34" t="s">
        <v>14</v>
      </c>
      <c r="AE34">
        <v>28</v>
      </c>
      <c r="AG34">
        <v>94</v>
      </c>
      <c r="AH34">
        <v>0.4177777777777778</v>
      </c>
      <c r="AJ34">
        <v>12.71564079147641</v>
      </c>
      <c r="AO34">
        <v>4</v>
      </c>
      <c r="AP34" s="308">
        <v>0.14285714285714285</v>
      </c>
    </row>
    <row r="35" spans="1:50" x14ac:dyDescent="0.35">
      <c r="A35" s="16" t="s">
        <v>15</v>
      </c>
      <c r="B35" s="32">
        <v>548</v>
      </c>
      <c r="C35" s="32">
        <v>363</v>
      </c>
      <c r="D35" s="162">
        <v>0.66240875912408759</v>
      </c>
      <c r="E35" s="162"/>
      <c r="F35" s="32">
        <v>564</v>
      </c>
      <c r="G35" s="32">
        <v>72</v>
      </c>
      <c r="H35" s="224">
        <v>0.1276595744680851</v>
      </c>
      <c r="I35" s="32">
        <v>363</v>
      </c>
      <c r="J35" s="162">
        <v>0.6436170212765957</v>
      </c>
      <c r="K35" s="162"/>
      <c r="L35" s="32">
        <v>583</v>
      </c>
      <c r="M35" s="32">
        <v>2</v>
      </c>
      <c r="N35" s="224">
        <v>3.4305317324185248E-3</v>
      </c>
      <c r="O35" s="32">
        <v>363</v>
      </c>
      <c r="P35" s="162">
        <v>0.62264150943396224</v>
      </c>
      <c r="Q35" s="162"/>
      <c r="R35" s="32">
        <v>569</v>
      </c>
      <c r="S35" s="32">
        <v>2</v>
      </c>
      <c r="T35" s="224">
        <v>3.5149384885764497E-3</v>
      </c>
      <c r="U35" s="32">
        <v>349</v>
      </c>
      <c r="V35" s="162">
        <v>0.61335676625659052</v>
      </c>
      <c r="W35" s="162"/>
      <c r="X35" s="97">
        <v>589</v>
      </c>
      <c r="Y35" s="97">
        <v>2</v>
      </c>
      <c r="Z35" s="268">
        <f>Y35/X35</f>
        <v>3.3955857385398981E-3</v>
      </c>
      <c r="AA35" s="97">
        <v>364</v>
      </c>
      <c r="AB35" s="268">
        <f>AA35/X35</f>
        <v>0.61799660441426141</v>
      </c>
      <c r="AC35" s="155" t="str">
        <f t="shared" si="0"/>
        <v>OK</v>
      </c>
      <c r="AD35" t="s">
        <v>15</v>
      </c>
      <c r="AE35">
        <v>589</v>
      </c>
      <c r="AG35">
        <v>15</v>
      </c>
      <c r="AH35">
        <v>0.5357142857142857</v>
      </c>
      <c r="AJ35">
        <v>11.143542074363996</v>
      </c>
      <c r="AL35">
        <v>2</v>
      </c>
      <c r="AM35" s="308">
        <v>3.3955857385398981E-3</v>
      </c>
      <c r="AO35">
        <v>364</v>
      </c>
      <c r="AP35" s="308">
        <v>0.61799660441426141</v>
      </c>
      <c r="AR35">
        <v>3</v>
      </c>
      <c r="AS35">
        <v>0.75</v>
      </c>
      <c r="AU35">
        <v>11.43561643835619</v>
      </c>
    </row>
    <row r="36" spans="1:50" x14ac:dyDescent="0.35">
      <c r="A36" s="16" t="s">
        <v>16</v>
      </c>
      <c r="B36" s="32">
        <v>7</v>
      </c>
      <c r="C36" s="32"/>
      <c r="D36" s="162"/>
      <c r="E36" s="162"/>
      <c r="F36" s="32">
        <v>6</v>
      </c>
      <c r="G36" s="32">
        <v>6</v>
      </c>
      <c r="H36" s="224">
        <v>1</v>
      </c>
      <c r="I36" s="32"/>
      <c r="J36" s="162"/>
      <c r="K36" s="162"/>
      <c r="L36" s="32">
        <v>6</v>
      </c>
      <c r="M36" s="32"/>
      <c r="N36" s="224"/>
      <c r="O36" s="32"/>
      <c r="P36" s="162"/>
      <c r="Q36" s="162"/>
      <c r="R36" s="32">
        <v>22</v>
      </c>
      <c r="S36" s="32"/>
      <c r="T36" s="224"/>
      <c r="U36" s="32"/>
      <c r="V36" s="162"/>
      <c r="W36" s="162"/>
      <c r="X36" s="97">
        <v>22</v>
      </c>
      <c r="Y36" s="97"/>
      <c r="Z36" s="268"/>
      <c r="AA36" s="97"/>
      <c r="AB36" s="268"/>
      <c r="AC36" s="155" t="str">
        <f t="shared" si="0"/>
        <v>OK</v>
      </c>
      <c r="AD36" t="s">
        <v>16</v>
      </c>
      <c r="AE36">
        <v>22</v>
      </c>
      <c r="AG36">
        <v>211</v>
      </c>
      <c r="AH36">
        <v>0.37082601054481545</v>
      </c>
      <c r="AJ36">
        <v>9.3120109781640608</v>
      </c>
      <c r="AR36">
        <v>104</v>
      </c>
      <c r="AS36">
        <v>0.29799426934097423</v>
      </c>
      <c r="AU36">
        <v>8.2436707618636369</v>
      </c>
      <c r="AW36">
        <v>1</v>
      </c>
      <c r="AX36">
        <v>1.7543859649122807E-3</v>
      </c>
    </row>
    <row r="37" spans="1:50" x14ac:dyDescent="0.35">
      <c r="A37" s="16" t="s">
        <v>344</v>
      </c>
      <c r="B37" s="32"/>
      <c r="C37" s="32"/>
      <c r="D37" s="162"/>
      <c r="E37" s="162"/>
      <c r="F37" s="32">
        <v>7</v>
      </c>
      <c r="G37" s="32">
        <v>5</v>
      </c>
      <c r="H37" s="224">
        <v>0.7142857142857143</v>
      </c>
      <c r="I37" s="32"/>
      <c r="J37" s="162"/>
      <c r="K37" s="162"/>
      <c r="L37" s="32">
        <v>7</v>
      </c>
      <c r="M37" s="32"/>
      <c r="N37" s="224"/>
      <c r="O37" s="32"/>
      <c r="P37" s="162"/>
      <c r="Q37" s="162"/>
      <c r="R37" s="32">
        <v>7</v>
      </c>
      <c r="S37" s="32"/>
      <c r="T37" s="224"/>
      <c r="U37" s="32"/>
      <c r="V37" s="162"/>
      <c r="W37" s="162"/>
      <c r="X37" s="97">
        <v>7</v>
      </c>
      <c r="Y37" s="97"/>
      <c r="Z37" s="268"/>
      <c r="AA37" s="97"/>
      <c r="AB37" s="268"/>
      <c r="AC37" s="155" t="str">
        <f t="shared" si="0"/>
        <v>OK</v>
      </c>
      <c r="AD37" t="s">
        <v>344</v>
      </c>
      <c r="AE37">
        <v>7</v>
      </c>
      <c r="AH37">
        <v>0</v>
      </c>
      <c r="AJ37">
        <v>1.5379825653798258</v>
      </c>
    </row>
    <row r="38" spans="1:50" x14ac:dyDescent="0.35">
      <c r="A38" s="16" t="s">
        <v>17</v>
      </c>
      <c r="B38" s="32">
        <v>29</v>
      </c>
      <c r="C38" s="32"/>
      <c r="D38" s="162"/>
      <c r="E38" s="162"/>
      <c r="F38" s="32">
        <v>32</v>
      </c>
      <c r="G38" s="32">
        <v>3</v>
      </c>
      <c r="H38" s="224">
        <v>9.375E-2</v>
      </c>
      <c r="I38" s="32"/>
      <c r="J38" s="162"/>
      <c r="K38" s="162"/>
      <c r="L38" s="32">
        <v>36</v>
      </c>
      <c r="M38" s="32">
        <v>3</v>
      </c>
      <c r="N38" s="224">
        <v>8.3333333333333329E-2</v>
      </c>
      <c r="O38" s="32"/>
      <c r="P38" s="162"/>
      <c r="Q38" s="162"/>
      <c r="R38" s="32">
        <v>41</v>
      </c>
      <c r="S38" s="32">
        <v>1</v>
      </c>
      <c r="T38" s="224">
        <v>2.4390243902439025E-2</v>
      </c>
      <c r="U38" s="32"/>
      <c r="V38" s="162"/>
      <c r="W38" s="162"/>
      <c r="X38" s="97">
        <v>41</v>
      </c>
      <c r="Y38" s="97">
        <v>1</v>
      </c>
      <c r="Z38" s="268">
        <f>Y38/X38</f>
        <v>2.4390243902439025E-2</v>
      </c>
      <c r="AA38" s="97"/>
      <c r="AB38" s="268"/>
      <c r="AC38" s="155" t="str">
        <f t="shared" si="0"/>
        <v>OK</v>
      </c>
      <c r="AD38" t="s">
        <v>17</v>
      </c>
      <c r="AE38">
        <v>41</v>
      </c>
      <c r="AG38">
        <v>1</v>
      </c>
      <c r="AH38">
        <v>0.14285714285714285</v>
      </c>
      <c r="AJ38">
        <v>5.6911937377690736</v>
      </c>
      <c r="AL38">
        <v>1</v>
      </c>
      <c r="AM38" s="308">
        <v>2.4390243902439025E-2</v>
      </c>
    </row>
    <row r="39" spans="1:50" x14ac:dyDescent="0.35">
      <c r="A39" s="16" t="s">
        <v>358</v>
      </c>
      <c r="B39" s="32">
        <v>338</v>
      </c>
      <c r="C39" s="32">
        <v>183</v>
      </c>
      <c r="D39" s="162">
        <v>0.54142011834319526</v>
      </c>
      <c r="E39" s="162"/>
      <c r="F39" s="32">
        <v>361</v>
      </c>
      <c r="G39" s="32">
        <v>120</v>
      </c>
      <c r="H39" s="224">
        <v>0.33240997229916897</v>
      </c>
      <c r="I39" s="32">
        <v>227</v>
      </c>
      <c r="J39" s="162">
        <v>0.62880886426592797</v>
      </c>
      <c r="K39" s="162"/>
      <c r="L39" s="32">
        <v>152</v>
      </c>
      <c r="M39" s="32">
        <v>56</v>
      </c>
      <c r="N39" s="224">
        <v>0.36842105263157893</v>
      </c>
      <c r="O39" s="32">
        <v>69</v>
      </c>
      <c r="P39" s="162">
        <v>0.45394736842105265</v>
      </c>
      <c r="Q39" s="162"/>
      <c r="R39" s="32">
        <v>138</v>
      </c>
      <c r="S39" s="32">
        <v>57</v>
      </c>
      <c r="T39" s="224">
        <v>0.41304347826086957</v>
      </c>
      <c r="U39" s="32">
        <v>65</v>
      </c>
      <c r="V39" s="162">
        <v>0.47101449275362317</v>
      </c>
      <c r="W39" s="162"/>
      <c r="X39" s="97">
        <v>124</v>
      </c>
      <c r="Y39" s="97"/>
      <c r="Z39" s="268"/>
      <c r="AA39" s="97">
        <v>63</v>
      </c>
      <c r="AB39" s="268">
        <f>AA39/X39</f>
        <v>0.50806451612903225</v>
      </c>
      <c r="AC39" s="155" t="str">
        <f t="shared" si="0"/>
        <v>OK</v>
      </c>
      <c r="AD39" t="s">
        <v>358</v>
      </c>
      <c r="AE39">
        <v>124</v>
      </c>
      <c r="AG39">
        <v>18</v>
      </c>
      <c r="AH39">
        <v>0.43902439024390244</v>
      </c>
      <c r="AJ39">
        <v>9.7659204811226221</v>
      </c>
      <c r="AO39">
        <v>63</v>
      </c>
      <c r="AP39" s="308">
        <v>0.50806451612903225</v>
      </c>
    </row>
    <row r="40" spans="1:50" x14ac:dyDescent="0.35">
      <c r="A40" s="16" t="s">
        <v>25</v>
      </c>
      <c r="B40" s="32">
        <v>2</v>
      </c>
      <c r="C40" s="32"/>
      <c r="D40" s="162"/>
      <c r="E40" s="162"/>
      <c r="F40" s="32">
        <v>4</v>
      </c>
      <c r="G40" s="32">
        <v>4</v>
      </c>
      <c r="H40" s="224">
        <v>1</v>
      </c>
      <c r="I40" s="32"/>
      <c r="J40" s="162"/>
      <c r="K40" s="162"/>
      <c r="L40" s="32">
        <v>4</v>
      </c>
      <c r="M40" s="32"/>
      <c r="N40" s="224"/>
      <c r="O40" s="32"/>
      <c r="P40" s="162"/>
      <c r="Q40" s="162"/>
      <c r="R40" s="32">
        <v>3</v>
      </c>
      <c r="S40" s="32"/>
      <c r="T40" s="224"/>
      <c r="U40" s="32"/>
      <c r="V40" s="162"/>
      <c r="W40" s="162"/>
      <c r="X40" s="97">
        <v>3</v>
      </c>
      <c r="Y40" s="97"/>
      <c r="Z40" s="268"/>
      <c r="AA40" s="97"/>
      <c r="AB40" s="268"/>
      <c r="AC40" s="155" t="str">
        <f t="shared" si="0"/>
        <v>OK</v>
      </c>
      <c r="AD40" t="s">
        <v>25</v>
      </c>
      <c r="AE40">
        <v>3</v>
      </c>
      <c r="AG40">
        <v>15</v>
      </c>
      <c r="AH40">
        <v>0.10869565217391304</v>
      </c>
      <c r="AJ40">
        <v>5.2991860234266399</v>
      </c>
      <c r="AU40">
        <v>4.1997471022128536</v>
      </c>
      <c r="AW40">
        <v>47</v>
      </c>
      <c r="AX40">
        <v>0.33571428571428569</v>
      </c>
    </row>
    <row r="41" spans="1:50" x14ac:dyDescent="0.35">
      <c r="A41" s="16" t="s">
        <v>18</v>
      </c>
      <c r="B41" s="32">
        <v>177</v>
      </c>
      <c r="C41" s="32">
        <v>2</v>
      </c>
      <c r="D41" s="162">
        <v>1.1299435028248588E-2</v>
      </c>
      <c r="E41" s="162"/>
      <c r="F41" s="32">
        <v>165</v>
      </c>
      <c r="G41" s="32">
        <v>25</v>
      </c>
      <c r="H41" s="224">
        <v>0.15151515151515152</v>
      </c>
      <c r="I41" s="32">
        <v>2</v>
      </c>
      <c r="J41" s="162">
        <v>1.2121212121212121E-2</v>
      </c>
      <c r="K41" s="162"/>
      <c r="L41" s="32">
        <v>163</v>
      </c>
      <c r="M41" s="32">
        <v>23</v>
      </c>
      <c r="N41" s="224">
        <v>0.1411042944785276</v>
      </c>
      <c r="O41" s="32">
        <v>2</v>
      </c>
      <c r="P41" s="162">
        <v>1.2269938650306749E-2</v>
      </c>
      <c r="Q41" s="162"/>
      <c r="R41" s="32">
        <v>166</v>
      </c>
      <c r="S41" s="32"/>
      <c r="T41" s="224"/>
      <c r="U41" s="32">
        <v>2</v>
      </c>
      <c r="V41" s="162">
        <v>1.2048192771084338E-2</v>
      </c>
      <c r="W41" s="162"/>
      <c r="X41" s="97">
        <v>59</v>
      </c>
      <c r="Y41" s="97"/>
      <c r="Z41" s="268"/>
      <c r="AA41" s="97"/>
      <c r="AB41" s="268"/>
      <c r="AC41" s="155" t="str">
        <f t="shared" si="0"/>
        <v>OK</v>
      </c>
      <c r="AD41" t="s">
        <v>18</v>
      </c>
      <c r="AE41">
        <v>59</v>
      </c>
      <c r="AG41">
        <v>1</v>
      </c>
      <c r="AH41">
        <v>0.33333333333333331</v>
      </c>
      <c r="AJ41">
        <v>5.3013698630137007</v>
      </c>
    </row>
    <row r="42" spans="1:50" x14ac:dyDescent="0.35">
      <c r="A42" s="16" t="s">
        <v>353</v>
      </c>
      <c r="B42" s="32">
        <v>542</v>
      </c>
      <c r="C42" s="32">
        <v>86</v>
      </c>
      <c r="D42" s="162">
        <v>0.15867158671586715</v>
      </c>
      <c r="E42" s="162"/>
      <c r="F42" s="32">
        <v>545</v>
      </c>
      <c r="G42" s="32">
        <v>123</v>
      </c>
      <c r="H42" s="224">
        <v>0.22568807339449543</v>
      </c>
      <c r="I42" s="32">
        <v>88</v>
      </c>
      <c r="J42" s="162">
        <v>0.16146788990825689</v>
      </c>
      <c r="K42" s="162"/>
      <c r="L42" s="32">
        <v>576</v>
      </c>
      <c r="M42" s="32">
        <v>2</v>
      </c>
      <c r="N42" s="224">
        <v>3.472222222222222E-3</v>
      </c>
      <c r="O42" s="32">
        <v>92</v>
      </c>
      <c r="P42" s="162">
        <v>0.15972222222222221</v>
      </c>
      <c r="Q42" s="162"/>
      <c r="R42" s="32">
        <v>526</v>
      </c>
      <c r="S42" s="32"/>
      <c r="T42" s="224"/>
      <c r="U42" s="32">
        <v>80</v>
      </c>
      <c r="V42" s="162">
        <v>0.15209125475285171</v>
      </c>
      <c r="W42" s="162"/>
      <c r="X42" s="97">
        <v>541</v>
      </c>
      <c r="Y42" s="97"/>
      <c r="Z42" s="268"/>
      <c r="AA42" s="97">
        <v>88</v>
      </c>
      <c r="AB42" s="268">
        <f>AA42/X42</f>
        <v>0.16266173752310537</v>
      </c>
      <c r="AC42" s="155" t="str">
        <f t="shared" si="0"/>
        <v>No</v>
      </c>
      <c r="AD42" t="s">
        <v>409</v>
      </c>
      <c r="AE42">
        <v>541</v>
      </c>
      <c r="AG42">
        <v>41</v>
      </c>
      <c r="AH42">
        <v>0.24698795180722891</v>
      </c>
      <c r="AJ42">
        <v>7.9215877207459924</v>
      </c>
      <c r="AO42">
        <v>88</v>
      </c>
      <c r="AP42" s="308">
        <v>0.16266173752310537</v>
      </c>
      <c r="AR42">
        <v>2</v>
      </c>
      <c r="AS42">
        <v>1</v>
      </c>
      <c r="AU42">
        <v>14.16301369863015</v>
      </c>
    </row>
    <row r="43" spans="1:50" x14ac:dyDescent="0.35">
      <c r="A43" s="16" t="s">
        <v>354</v>
      </c>
      <c r="B43" s="32">
        <v>573</v>
      </c>
      <c r="C43" s="32">
        <v>23</v>
      </c>
      <c r="D43" s="162">
        <v>4.0139616055846421E-2</v>
      </c>
      <c r="E43" s="162"/>
      <c r="F43" s="32">
        <v>604</v>
      </c>
      <c r="G43" s="32">
        <v>55</v>
      </c>
      <c r="H43" s="224">
        <v>9.1059602649006616E-2</v>
      </c>
      <c r="I43" s="32">
        <v>17</v>
      </c>
      <c r="J43" s="162">
        <v>2.8145695364238412E-2</v>
      </c>
      <c r="K43" s="162"/>
      <c r="L43" s="32">
        <v>631</v>
      </c>
      <c r="M43" s="32">
        <v>1</v>
      </c>
      <c r="N43" s="224">
        <v>1.5847860538827259E-3</v>
      </c>
      <c r="O43" s="32">
        <v>9</v>
      </c>
      <c r="P43" s="162">
        <v>1.4263074484944533E-2</v>
      </c>
      <c r="Q43" s="162"/>
      <c r="R43" s="32">
        <v>670</v>
      </c>
      <c r="S43" s="32"/>
      <c r="T43" s="224"/>
      <c r="U43" s="32">
        <v>8</v>
      </c>
      <c r="V43" s="162">
        <v>1.1940298507462687E-2</v>
      </c>
      <c r="W43" s="162"/>
      <c r="X43" s="97">
        <v>714</v>
      </c>
      <c r="Y43" s="97">
        <v>3</v>
      </c>
      <c r="Z43" s="268">
        <f>Y43/X43</f>
        <v>4.2016806722689074E-3</v>
      </c>
      <c r="AA43" s="97">
        <v>12</v>
      </c>
      <c r="AB43" s="268">
        <f>AA43/X43</f>
        <v>1.680672268907563E-2</v>
      </c>
      <c r="AC43" s="155" t="str">
        <f t="shared" si="0"/>
        <v>No</v>
      </c>
      <c r="AD43" t="s">
        <v>28</v>
      </c>
      <c r="AE43">
        <v>714</v>
      </c>
      <c r="AG43">
        <v>210</v>
      </c>
      <c r="AH43">
        <v>0.39923954372623577</v>
      </c>
      <c r="AJ43">
        <v>9.1384863794989517</v>
      </c>
      <c r="AL43">
        <v>3</v>
      </c>
      <c r="AM43" s="308">
        <v>4.2016806722689074E-3</v>
      </c>
      <c r="AO43">
        <v>12</v>
      </c>
      <c r="AP43" s="308">
        <v>1.680672268907563E-2</v>
      </c>
      <c r="AR43">
        <v>44</v>
      </c>
      <c r="AS43">
        <v>0.55000000000000004</v>
      </c>
      <c r="AU43">
        <v>10.94099315068493</v>
      </c>
    </row>
    <row r="44" spans="1:50" x14ac:dyDescent="0.35">
      <c r="A44" s="16" t="s">
        <v>409</v>
      </c>
      <c r="B44" s="32"/>
      <c r="C44" s="32"/>
      <c r="D44" s="162"/>
      <c r="E44" s="162"/>
      <c r="F44" s="32"/>
      <c r="G44" s="32"/>
      <c r="H44" s="224"/>
      <c r="I44" s="32"/>
      <c r="J44" s="162"/>
      <c r="K44" s="162"/>
      <c r="L44" s="32"/>
      <c r="M44" s="32"/>
      <c r="N44" s="224"/>
      <c r="O44" s="32"/>
      <c r="P44" s="162"/>
      <c r="Q44" s="162"/>
      <c r="R44" s="32"/>
      <c r="S44" s="32"/>
      <c r="T44" s="224"/>
      <c r="U44" s="32"/>
      <c r="V44" s="162"/>
      <c r="W44" s="162"/>
      <c r="X44" s="97">
        <v>166</v>
      </c>
      <c r="Y44" s="97">
        <v>54</v>
      </c>
      <c r="Z44" s="268">
        <f>Y44/X44</f>
        <v>0.3253012048192771</v>
      </c>
      <c r="AA44" s="97">
        <v>164</v>
      </c>
      <c r="AB44" s="268">
        <f>AA44/X44</f>
        <v>0.98795180722891562</v>
      </c>
      <c r="AC44" s="155" t="str">
        <f t="shared" si="0"/>
        <v>No</v>
      </c>
      <c r="AD44" t="s">
        <v>29</v>
      </c>
      <c r="AE44">
        <v>166</v>
      </c>
      <c r="AG44">
        <v>247</v>
      </c>
      <c r="AH44">
        <v>0.36865671641791042</v>
      </c>
      <c r="AJ44">
        <v>9.0281292169290452</v>
      </c>
      <c r="AL44">
        <v>54</v>
      </c>
      <c r="AM44" s="308">
        <v>0.3253012048192771</v>
      </c>
      <c r="AO44">
        <v>164</v>
      </c>
      <c r="AP44" s="308">
        <v>0.98795180722891562</v>
      </c>
      <c r="AR44">
        <v>4</v>
      </c>
      <c r="AS44">
        <v>0.5</v>
      </c>
      <c r="AU44">
        <v>9.4691780821917853</v>
      </c>
    </row>
    <row r="45" spans="1:50" x14ac:dyDescent="0.35">
      <c r="A45" s="16" t="s">
        <v>28</v>
      </c>
      <c r="B45" s="32"/>
      <c r="C45" s="32"/>
      <c r="D45" s="162"/>
      <c r="E45" s="162"/>
      <c r="F45" s="32"/>
      <c r="G45" s="32"/>
      <c r="H45" s="224"/>
      <c r="I45" s="32"/>
      <c r="J45" s="162"/>
      <c r="K45" s="162"/>
      <c r="L45" s="32"/>
      <c r="M45" s="32"/>
      <c r="N45" s="224"/>
      <c r="O45" s="32"/>
      <c r="P45" s="162"/>
      <c r="Q45" s="162"/>
      <c r="R45" s="32"/>
      <c r="S45" s="32"/>
      <c r="T45" s="224"/>
      <c r="U45" s="32"/>
      <c r="V45" s="162"/>
      <c r="W45" s="162"/>
      <c r="X45" s="97"/>
      <c r="Y45" s="97"/>
      <c r="Z45" s="268"/>
      <c r="AA45" s="97"/>
      <c r="AB45" s="268"/>
      <c r="AC45" s="155" t="str">
        <f t="shared" si="0"/>
        <v>No</v>
      </c>
      <c r="AD45" t="s">
        <v>359</v>
      </c>
    </row>
    <row r="46" spans="1:50" x14ac:dyDescent="0.35">
      <c r="A46" s="16" t="s">
        <v>29</v>
      </c>
      <c r="B46" s="32"/>
      <c r="C46" s="32"/>
      <c r="D46" s="162"/>
      <c r="E46" s="162"/>
      <c r="F46" s="32"/>
      <c r="G46" s="32"/>
      <c r="H46" s="224"/>
      <c r="I46" s="32"/>
      <c r="J46" s="162"/>
      <c r="K46" s="162"/>
      <c r="L46" s="32">
        <v>1</v>
      </c>
      <c r="M46" s="32"/>
      <c r="N46" s="224"/>
      <c r="O46" s="32"/>
      <c r="P46" s="162"/>
      <c r="Q46" s="162"/>
      <c r="R46" s="32">
        <v>1</v>
      </c>
      <c r="S46" s="32"/>
      <c r="T46" s="224"/>
      <c r="U46" s="32"/>
      <c r="V46" s="162"/>
      <c r="W46" s="162"/>
      <c r="X46" s="97">
        <v>1</v>
      </c>
      <c r="Y46" s="97"/>
      <c r="Z46" s="268"/>
      <c r="AA46" s="97"/>
      <c r="AB46" s="268"/>
      <c r="AC46" s="155" t="str">
        <f t="shared" si="0"/>
        <v>No</v>
      </c>
      <c r="AD46" t="s">
        <v>30</v>
      </c>
      <c r="AE46">
        <v>1</v>
      </c>
      <c r="AJ46">
        <v>2.4767123287671202</v>
      </c>
    </row>
    <row r="47" spans="1:50" x14ac:dyDescent="0.35">
      <c r="A47" s="16" t="s">
        <v>359</v>
      </c>
      <c r="B47" s="32">
        <v>36</v>
      </c>
      <c r="C47" s="32">
        <v>4</v>
      </c>
      <c r="D47" s="162">
        <v>0.1111111111111111</v>
      </c>
      <c r="E47" s="162"/>
      <c r="F47" s="32">
        <v>45</v>
      </c>
      <c r="G47" s="32">
        <v>27</v>
      </c>
      <c r="H47" s="224">
        <v>0.6</v>
      </c>
      <c r="I47" s="32">
        <v>7</v>
      </c>
      <c r="J47" s="162">
        <v>0.15555555555555556</v>
      </c>
      <c r="K47" s="162"/>
      <c r="L47" s="32">
        <v>42</v>
      </c>
      <c r="M47" s="32"/>
      <c r="N47" s="224"/>
      <c r="O47" s="32">
        <v>7</v>
      </c>
      <c r="P47" s="162">
        <v>0.16666666666666666</v>
      </c>
      <c r="Q47" s="162"/>
      <c r="R47" s="32">
        <v>44</v>
      </c>
      <c r="S47" s="32"/>
      <c r="T47" s="224"/>
      <c r="U47" s="32">
        <v>7</v>
      </c>
      <c r="V47" s="162">
        <v>0.15909090909090909</v>
      </c>
      <c r="W47" s="162"/>
      <c r="X47" s="97">
        <v>41</v>
      </c>
      <c r="Y47" s="97"/>
      <c r="Z47" s="268"/>
      <c r="AA47" s="97">
        <v>5</v>
      </c>
      <c r="AB47" s="268">
        <f>AA47/X47</f>
        <v>0.12195121951219512</v>
      </c>
      <c r="AC47" s="155" t="str">
        <f t="shared" si="0"/>
        <v>No</v>
      </c>
      <c r="AD47" t="s">
        <v>31</v>
      </c>
      <c r="AE47">
        <v>41</v>
      </c>
      <c r="AG47">
        <v>15</v>
      </c>
      <c r="AH47">
        <v>0.34090909090909088</v>
      </c>
      <c r="AJ47">
        <v>8.4138231631382308</v>
      </c>
      <c r="AO47">
        <v>5</v>
      </c>
      <c r="AP47" s="308">
        <v>0.12195121951219512</v>
      </c>
      <c r="AR47">
        <v>6</v>
      </c>
      <c r="AS47">
        <v>0.8571428571428571</v>
      </c>
      <c r="AU47">
        <v>14.221135029354206</v>
      </c>
    </row>
    <row r="48" spans="1:50" x14ac:dyDescent="0.35">
      <c r="A48" s="16" t="s">
        <v>30</v>
      </c>
      <c r="B48" s="32">
        <v>1</v>
      </c>
      <c r="C48" s="32"/>
      <c r="D48" s="162"/>
      <c r="E48" s="162"/>
      <c r="F48" s="32">
        <v>1</v>
      </c>
      <c r="G48" s="32"/>
      <c r="H48" s="224"/>
      <c r="I48" s="32"/>
      <c r="J48" s="162"/>
      <c r="K48" s="162"/>
      <c r="L48" s="32">
        <v>1</v>
      </c>
      <c r="M48" s="32"/>
      <c r="N48" s="224"/>
      <c r="O48" s="32"/>
      <c r="P48" s="162"/>
      <c r="Q48" s="162"/>
      <c r="R48" s="32">
        <v>1</v>
      </c>
      <c r="S48" s="32"/>
      <c r="T48" s="224"/>
      <c r="U48" s="32"/>
      <c r="V48" s="162"/>
      <c r="W48" s="162"/>
      <c r="X48" s="97">
        <v>1</v>
      </c>
      <c r="Y48" s="97"/>
      <c r="Z48" s="268"/>
      <c r="AA48" s="97"/>
      <c r="AB48" s="268"/>
      <c r="AC48" s="155" t="str">
        <f t="shared" si="0"/>
        <v>No</v>
      </c>
      <c r="AD48" t="s">
        <v>32</v>
      </c>
      <c r="AE48">
        <v>1</v>
      </c>
      <c r="AG48">
        <v>1</v>
      </c>
      <c r="AH48">
        <v>1</v>
      </c>
      <c r="AJ48">
        <v>16.202739726027399</v>
      </c>
    </row>
    <row r="49" spans="1:50" x14ac:dyDescent="0.35">
      <c r="A49" s="16" t="s">
        <v>31</v>
      </c>
      <c r="B49" s="32"/>
      <c r="C49" s="32"/>
      <c r="D49" s="162"/>
      <c r="E49" s="162"/>
      <c r="F49" s="32"/>
      <c r="G49" s="32"/>
      <c r="H49" s="224"/>
      <c r="I49" s="32"/>
      <c r="J49" s="162"/>
      <c r="K49" s="162"/>
      <c r="L49" s="32"/>
      <c r="M49" s="32"/>
      <c r="N49" s="224"/>
      <c r="O49" s="32"/>
      <c r="P49" s="162"/>
      <c r="Q49" s="162"/>
      <c r="R49" s="32"/>
      <c r="S49" s="32"/>
      <c r="T49" s="224"/>
      <c r="U49" s="32"/>
      <c r="V49" s="162"/>
      <c r="W49" s="162"/>
      <c r="X49" s="97"/>
      <c r="Y49" s="97"/>
      <c r="Z49" s="268"/>
      <c r="AA49" s="97"/>
      <c r="AB49" s="268"/>
      <c r="AC49" s="155" t="str">
        <f t="shared" si="0"/>
        <v>No</v>
      </c>
      <c r="AD49" t="s">
        <v>33</v>
      </c>
      <c r="AX49" t="e">
        <v>#DIV/0!</v>
      </c>
    </row>
    <row r="50" spans="1:50" x14ac:dyDescent="0.35">
      <c r="A50" s="16" t="s">
        <v>32</v>
      </c>
      <c r="B50" s="32">
        <v>1440</v>
      </c>
      <c r="C50" s="32">
        <v>4</v>
      </c>
      <c r="D50" s="162">
        <v>2.7777777777777779E-3</v>
      </c>
      <c r="E50" s="162"/>
      <c r="F50" s="32">
        <v>1482</v>
      </c>
      <c r="G50" s="32">
        <v>437</v>
      </c>
      <c r="H50" s="224">
        <v>0.29487179487179488</v>
      </c>
      <c r="I50" s="32">
        <v>3</v>
      </c>
      <c r="J50" s="162">
        <v>2.0242914979757085E-3</v>
      </c>
      <c r="K50" s="162"/>
      <c r="L50" s="32">
        <v>1677</v>
      </c>
      <c r="M50" s="32">
        <v>596</v>
      </c>
      <c r="N50" s="224">
        <v>0.35539654144305305</v>
      </c>
      <c r="O50" s="32"/>
      <c r="P50" s="162"/>
      <c r="Q50" s="162"/>
      <c r="R50" s="32">
        <v>1554</v>
      </c>
      <c r="S50" s="32">
        <v>19</v>
      </c>
      <c r="T50" s="224">
        <v>1.2226512226512226E-2</v>
      </c>
      <c r="U50" s="32"/>
      <c r="V50" s="162"/>
      <c r="W50" s="162"/>
      <c r="X50" s="97">
        <v>1571</v>
      </c>
      <c r="Y50" s="97">
        <v>19</v>
      </c>
      <c r="Z50" s="268">
        <f>Y50/X50</f>
        <v>1.2094207511139401E-2</v>
      </c>
      <c r="AA50" s="97">
        <v>3</v>
      </c>
      <c r="AB50" s="268">
        <f t="shared" ref="AB50:AB51" si="3">AA50/X50</f>
        <v>1.9096117122851686E-3</v>
      </c>
      <c r="AC50" s="155" t="str">
        <f t="shared" si="0"/>
        <v>OK</v>
      </c>
      <c r="AD50" t="s">
        <v>32</v>
      </c>
      <c r="AE50">
        <v>1571</v>
      </c>
      <c r="AG50">
        <v>490</v>
      </c>
      <c r="AH50">
        <v>0.31531531531531531</v>
      </c>
      <c r="AJ50">
        <v>7.6597098076550685</v>
      </c>
      <c r="AL50">
        <v>19</v>
      </c>
      <c r="AM50" s="308">
        <v>1.2094207511139401E-2</v>
      </c>
      <c r="AO50">
        <v>3</v>
      </c>
      <c r="AP50" s="308">
        <v>1.9096117122851686E-3</v>
      </c>
    </row>
    <row r="51" spans="1:50" x14ac:dyDescent="0.35">
      <c r="A51" s="16" t="s">
        <v>33</v>
      </c>
      <c r="B51" s="32">
        <v>414</v>
      </c>
      <c r="C51" s="32"/>
      <c r="D51" s="162"/>
      <c r="E51" s="162"/>
      <c r="F51" s="32">
        <v>459</v>
      </c>
      <c r="G51" s="32">
        <v>129</v>
      </c>
      <c r="H51" s="224">
        <v>0.28104575163398693</v>
      </c>
      <c r="I51" s="32"/>
      <c r="J51" s="162"/>
      <c r="K51" s="162"/>
      <c r="L51" s="32">
        <v>502</v>
      </c>
      <c r="M51" s="32">
        <v>128</v>
      </c>
      <c r="N51" s="224">
        <v>0.2549800796812749</v>
      </c>
      <c r="O51" s="32"/>
      <c r="P51" s="162"/>
      <c r="Q51" s="162"/>
      <c r="R51" s="32">
        <v>644</v>
      </c>
      <c r="S51" s="32">
        <v>74</v>
      </c>
      <c r="T51" s="224">
        <v>0.11490683229813664</v>
      </c>
      <c r="U51" s="32"/>
      <c r="V51" s="162"/>
      <c r="W51" s="162"/>
      <c r="X51" s="97">
        <v>656</v>
      </c>
      <c r="Y51" s="97">
        <v>74</v>
      </c>
      <c r="Z51" s="268">
        <f>Y51/X51</f>
        <v>0.11280487804878049</v>
      </c>
      <c r="AA51" s="97">
        <v>4</v>
      </c>
      <c r="AB51" s="268">
        <f t="shared" si="3"/>
        <v>6.0975609756097563E-3</v>
      </c>
      <c r="AC51" s="155" t="str">
        <f t="shared" si="0"/>
        <v>OK</v>
      </c>
      <c r="AD51" t="s">
        <v>33</v>
      </c>
      <c r="AE51">
        <v>656</v>
      </c>
      <c r="AG51">
        <v>178</v>
      </c>
      <c r="AH51">
        <v>0.27639751552795033</v>
      </c>
      <c r="AJ51">
        <v>8.1401854845571222</v>
      </c>
      <c r="AL51">
        <v>74</v>
      </c>
      <c r="AM51" s="308">
        <v>0.11280487804878049</v>
      </c>
      <c r="AO51">
        <v>4</v>
      </c>
      <c r="AP51" s="308">
        <v>6.0975609756097563E-3</v>
      </c>
    </row>
    <row r="52" spans="1:50" x14ac:dyDescent="0.35">
      <c r="A52" s="16"/>
      <c r="B52" s="32"/>
      <c r="C52" s="32"/>
      <c r="D52" s="163"/>
      <c r="E52" s="33"/>
      <c r="F52" s="32"/>
      <c r="G52" s="32"/>
      <c r="H52" s="32"/>
      <c r="I52" s="32"/>
      <c r="J52" s="163"/>
      <c r="K52" s="33"/>
      <c r="L52" s="32"/>
      <c r="M52" s="32"/>
      <c r="N52" s="32"/>
      <c r="O52" s="32"/>
      <c r="P52" s="163"/>
      <c r="Q52" s="33"/>
      <c r="R52" s="32"/>
      <c r="S52" s="32"/>
      <c r="T52" s="32"/>
      <c r="U52" s="32"/>
      <c r="V52" s="163"/>
      <c r="W52" s="33"/>
      <c r="X52" s="32"/>
      <c r="Y52" s="32"/>
      <c r="Z52" s="33"/>
      <c r="AA52" s="32"/>
      <c r="AB52" s="163"/>
    </row>
    <row r="53" spans="1:50" ht="15" thickBot="1" x14ac:dyDescent="0.4">
      <c r="A53" s="25" t="s">
        <v>113</v>
      </c>
      <c r="B53" s="28">
        <v>22592</v>
      </c>
      <c r="C53" s="28">
        <v>5601</v>
      </c>
      <c r="D53" s="164">
        <v>0.24791961756373937</v>
      </c>
      <c r="E53" s="303"/>
      <c r="F53" s="28">
        <v>24040</v>
      </c>
      <c r="G53" s="28">
        <v>7336</v>
      </c>
      <c r="H53" s="225">
        <v>0.30515806988352745</v>
      </c>
      <c r="I53" s="28">
        <v>5746</v>
      </c>
      <c r="J53" s="164">
        <v>0.23901830282861897</v>
      </c>
      <c r="K53" s="303"/>
      <c r="L53" s="28">
        <v>25474</v>
      </c>
      <c r="M53" s="28">
        <v>2985</v>
      </c>
      <c r="N53" s="225">
        <v>0.1171782994425689</v>
      </c>
      <c r="O53" s="28">
        <v>5955</v>
      </c>
      <c r="P53" s="164">
        <v>0.23376776320954698</v>
      </c>
      <c r="Q53" s="303"/>
      <c r="R53" s="28">
        <v>25931</v>
      </c>
      <c r="S53" s="28">
        <v>1103</v>
      </c>
      <c r="T53" s="225">
        <v>4.2535960819096837E-2</v>
      </c>
      <c r="U53" s="28">
        <v>6006</v>
      </c>
      <c r="V53" s="164">
        <v>0.23161466970035866</v>
      </c>
      <c r="W53" s="303"/>
      <c r="X53" s="96">
        <f>SUM(X6:X51)</f>
        <v>26986</v>
      </c>
      <c r="Y53" s="96">
        <f>SUM(Y6:Y51)</f>
        <v>1269</v>
      </c>
      <c r="Z53" s="166">
        <f>Y53/X53</f>
        <v>4.7024383013414363E-2</v>
      </c>
      <c r="AA53" s="96">
        <f>SUM(AA6:AA51)</f>
        <v>6420</v>
      </c>
      <c r="AB53" s="166">
        <f>AA53/X53</f>
        <v>0.23790113392129253</v>
      </c>
      <c r="AD53" t="s">
        <v>40</v>
      </c>
      <c r="AE53">
        <v>26986</v>
      </c>
      <c r="AL53">
        <v>1269</v>
      </c>
      <c r="AM53" s="308">
        <v>4.7024383013414363E-2</v>
      </c>
      <c r="AO53">
        <v>6420</v>
      </c>
      <c r="AP53" s="308">
        <v>0.23790113392129253</v>
      </c>
    </row>
    <row r="54" spans="1:50" ht="15" thickTop="1" x14ac:dyDescent="0.35"/>
  </sheetData>
  <sortState ref="A6:AB51">
    <sortCondition ref="A6"/>
  </sortState>
  <mergeCells count="2">
    <mergeCell ref="AE3:AN3"/>
    <mergeCell ref="AO3:AX3"/>
  </mergeCells>
  <pageMargins left="0.7" right="0.7" top="0.75" bottom="0.75" header="0.3" footer="0.3"/>
  <pageSetup orientation="portrait" r:id="rId1"/>
  <customProperties>
    <customPr name="EpmWorksheetKeyString_GU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54"/>
  <sheetViews>
    <sheetView zoomScale="106" zoomScaleNormal="106" workbookViewId="0">
      <pane xSplit="1" ySplit="5" topLeftCell="Q45" activePane="bottomRight" state="frozen"/>
      <selection activeCell="D5" sqref="D5:E5"/>
      <selection pane="topRight" activeCell="D5" sqref="D5:E5"/>
      <selection pane="bottomLeft" activeCell="D5" sqref="D5:E5"/>
      <selection pane="bottomRight" activeCell="D5" sqref="D5:E5"/>
    </sheetView>
  </sheetViews>
  <sheetFormatPr defaultRowHeight="14.5" x14ac:dyDescent="0.35"/>
  <cols>
    <col min="1" max="1" width="49.26953125" bestFit="1" customWidth="1"/>
    <col min="2" max="2" width="13.1796875" bestFit="1" customWidth="1"/>
    <col min="3" max="4" width="12.54296875" bestFit="1" customWidth="1"/>
    <col min="5" max="5" width="2.7265625" customWidth="1"/>
    <col min="6" max="6" width="13.1796875" bestFit="1" customWidth="1"/>
    <col min="7" max="8" width="12.54296875" bestFit="1" customWidth="1"/>
    <col min="9" max="9" width="2.7265625" customWidth="1"/>
    <col min="10" max="11" width="13.1796875" bestFit="1" customWidth="1"/>
    <col min="12" max="12" width="12.54296875" bestFit="1" customWidth="1"/>
    <col min="13" max="13" width="2.7265625" customWidth="1"/>
    <col min="14" max="15" width="13.1796875" bestFit="1" customWidth="1"/>
    <col min="16" max="16" width="12.54296875" bestFit="1" customWidth="1"/>
    <col min="17" max="17" width="2.7265625" customWidth="1"/>
    <col min="18" max="18" width="13.1796875" bestFit="1" customWidth="1"/>
    <col min="19" max="20" width="12.54296875" bestFit="1" customWidth="1"/>
    <col min="21" max="21" width="9.1796875" style="155"/>
    <col min="22" max="22" width="27.1796875" customWidth="1"/>
    <col min="23" max="23" width="14.453125" style="271" bestFit="1" customWidth="1"/>
    <col min="24" max="25" width="11.26953125" style="271" bestFit="1" customWidth="1"/>
  </cols>
  <sheetData>
    <row r="1" spans="1:25" x14ac:dyDescent="0.35">
      <c r="A1" s="29">
        <v>1</v>
      </c>
      <c r="B1" s="29">
        <v>2</v>
      </c>
      <c r="C1" s="29">
        <v>3</v>
      </c>
      <c r="D1" s="29">
        <v>4</v>
      </c>
      <c r="E1" s="29">
        <v>5</v>
      </c>
      <c r="F1" s="29">
        <v>6</v>
      </c>
      <c r="G1" s="29">
        <v>7</v>
      </c>
      <c r="H1" s="29">
        <v>8</v>
      </c>
      <c r="I1" s="29">
        <v>9</v>
      </c>
      <c r="J1" s="29">
        <v>10</v>
      </c>
      <c r="K1" s="29">
        <v>11</v>
      </c>
      <c r="L1" s="29">
        <v>12</v>
      </c>
      <c r="M1" s="29">
        <v>13</v>
      </c>
      <c r="N1" s="29">
        <v>14</v>
      </c>
      <c r="O1" s="29">
        <v>15</v>
      </c>
      <c r="P1" s="29">
        <v>16</v>
      </c>
      <c r="Q1" s="29">
        <v>17</v>
      </c>
      <c r="R1" s="29">
        <v>18</v>
      </c>
      <c r="S1" s="29">
        <v>19</v>
      </c>
      <c r="T1" s="29">
        <v>20</v>
      </c>
    </row>
    <row r="2" spans="1:25" x14ac:dyDescent="0.35">
      <c r="B2" s="269"/>
      <c r="C2" s="269"/>
      <c r="D2" s="269"/>
      <c r="F2" s="269"/>
      <c r="G2" s="269"/>
      <c r="H2" s="269"/>
      <c r="J2" s="269"/>
      <c r="K2" s="269"/>
      <c r="L2" s="269"/>
      <c r="N2" s="269"/>
      <c r="O2" s="269"/>
      <c r="P2" s="269"/>
      <c r="R2" s="269"/>
      <c r="S2" s="269"/>
      <c r="T2" s="269"/>
    </row>
    <row r="3" spans="1:25" x14ac:dyDescent="0.35">
      <c r="B3" s="270" t="s">
        <v>367</v>
      </c>
      <c r="C3" s="270" t="s">
        <v>383</v>
      </c>
      <c r="D3" s="270" t="s">
        <v>369</v>
      </c>
      <c r="F3" s="270" t="s">
        <v>367</v>
      </c>
      <c r="G3" s="270" t="s">
        <v>383</v>
      </c>
      <c r="H3" s="270" t="s">
        <v>369</v>
      </c>
      <c r="J3" s="270" t="s">
        <v>367</v>
      </c>
      <c r="K3" s="270" t="s">
        <v>383</v>
      </c>
      <c r="L3" s="270" t="s">
        <v>369</v>
      </c>
      <c r="N3" s="270" t="s">
        <v>367</v>
      </c>
      <c r="O3" s="270" t="s">
        <v>383</v>
      </c>
      <c r="P3" s="270" t="s">
        <v>369</v>
      </c>
      <c r="R3" s="270" t="s">
        <v>367</v>
      </c>
      <c r="S3" s="270" t="s">
        <v>383</v>
      </c>
      <c r="T3" s="270" t="s">
        <v>369</v>
      </c>
    </row>
    <row r="4" spans="1:25" s="221" customFormat="1" x14ac:dyDescent="0.35">
      <c r="B4" s="42">
        <v>2017</v>
      </c>
      <c r="C4" s="42">
        <v>2017</v>
      </c>
      <c r="D4" s="42">
        <v>2017</v>
      </c>
      <c r="F4" s="42">
        <v>2018</v>
      </c>
      <c r="G4" s="42">
        <v>2018</v>
      </c>
      <c r="H4" s="42">
        <v>2018</v>
      </c>
      <c r="J4" s="42">
        <v>2019</v>
      </c>
      <c r="K4" s="42">
        <v>2019</v>
      </c>
      <c r="L4" s="42">
        <v>2019</v>
      </c>
      <c r="N4" s="42">
        <v>2020</v>
      </c>
      <c r="O4" s="42">
        <v>2020</v>
      </c>
      <c r="P4" s="42">
        <v>2020</v>
      </c>
      <c r="R4" s="42">
        <v>2021</v>
      </c>
      <c r="S4" s="42">
        <v>2021</v>
      </c>
      <c r="T4" s="42">
        <v>2021</v>
      </c>
      <c r="U4" s="155"/>
      <c r="W4" s="274"/>
      <c r="X4" s="274"/>
      <c r="Y4" s="274"/>
    </row>
    <row r="5" spans="1:25" x14ac:dyDescent="0.35">
      <c r="A5" s="39" t="s">
        <v>36</v>
      </c>
      <c r="B5" s="40" t="s">
        <v>41</v>
      </c>
      <c r="C5" s="40" t="s">
        <v>41</v>
      </c>
      <c r="D5" s="40" t="s">
        <v>41</v>
      </c>
      <c r="F5" s="40" t="s">
        <v>41</v>
      </c>
      <c r="G5" s="40" t="s">
        <v>41</v>
      </c>
      <c r="H5" s="40" t="s">
        <v>41</v>
      </c>
      <c r="J5" s="40" t="s">
        <v>41</v>
      </c>
      <c r="K5" s="40" t="s">
        <v>41</v>
      </c>
      <c r="L5" s="40" t="s">
        <v>41</v>
      </c>
      <c r="N5" s="40" t="s">
        <v>41</v>
      </c>
      <c r="O5" s="40" t="s">
        <v>41</v>
      </c>
      <c r="P5" s="40" t="s">
        <v>41</v>
      </c>
      <c r="R5" s="40" t="s">
        <v>41</v>
      </c>
      <c r="S5" s="40" t="s">
        <v>41</v>
      </c>
      <c r="T5" s="40" t="s">
        <v>41</v>
      </c>
      <c r="V5" s="15" t="s">
        <v>36</v>
      </c>
      <c r="W5" s="272" t="s">
        <v>368</v>
      </c>
      <c r="X5" s="272" t="s">
        <v>369</v>
      </c>
      <c r="Y5" s="272" t="s">
        <v>40</v>
      </c>
    </row>
    <row r="6" spans="1:25" x14ac:dyDescent="0.35">
      <c r="A6" s="16" t="s">
        <v>345</v>
      </c>
      <c r="B6" s="271">
        <v>1483014.9400000004</v>
      </c>
      <c r="C6" s="271">
        <v>814863.52000000176</v>
      </c>
      <c r="D6" s="271">
        <v>668151.41999999864</v>
      </c>
      <c r="F6" s="271">
        <v>1610146.5299999984</v>
      </c>
      <c r="G6" s="271">
        <v>868386.36999999941</v>
      </c>
      <c r="H6" s="271">
        <v>741760.15999999898</v>
      </c>
      <c r="J6" s="271">
        <v>1427953.629999999</v>
      </c>
      <c r="K6" s="271">
        <v>846148.64999999967</v>
      </c>
      <c r="L6" s="271">
        <v>581804.97999999928</v>
      </c>
      <c r="N6" s="271">
        <v>1224554.1499999992</v>
      </c>
      <c r="O6" s="271">
        <v>707143.65</v>
      </c>
      <c r="P6" s="271">
        <v>517410.49999999913</v>
      </c>
      <c r="R6" s="320">
        <f t="shared" ref="R6:R51" si="0">SUM(S6:T6)</f>
        <v>306290.49000000057</v>
      </c>
      <c r="S6" s="275">
        <v>9183.6600000000017</v>
      </c>
      <c r="T6" s="275">
        <v>297106.8300000006</v>
      </c>
      <c r="U6" s="155" t="str">
        <f t="shared" ref="U6:U51" si="1">IF(A6=V6,"OK","No")</f>
        <v>OK</v>
      </c>
      <c r="V6" t="s">
        <v>345</v>
      </c>
      <c r="W6" s="271">
        <v>9183.6600000000017</v>
      </c>
      <c r="X6" s="271">
        <v>297106.8300000006</v>
      </c>
      <c r="Y6" s="271">
        <v>306290.49000000057</v>
      </c>
    </row>
    <row r="7" spans="1:25" x14ac:dyDescent="0.35">
      <c r="A7" s="16" t="s">
        <v>21</v>
      </c>
      <c r="B7" s="271">
        <v>6952947.3499999931</v>
      </c>
      <c r="C7" s="271">
        <v>5212127.090000011</v>
      </c>
      <c r="D7" s="271">
        <v>1740820.2599999821</v>
      </c>
      <c r="F7" s="271">
        <v>7070983.5999999931</v>
      </c>
      <c r="G7" s="271">
        <v>5121515.8800000083</v>
      </c>
      <c r="H7" s="271">
        <v>1949467.7199999851</v>
      </c>
      <c r="J7" s="271">
        <v>7919326.1599999964</v>
      </c>
      <c r="K7" s="271">
        <v>5577509.7099999972</v>
      </c>
      <c r="L7" s="271">
        <v>2341816.4499999993</v>
      </c>
      <c r="N7" s="271">
        <v>6027883.8599999882</v>
      </c>
      <c r="O7" s="271">
        <v>4136393.8999999948</v>
      </c>
      <c r="P7" s="271">
        <v>1891489.9599999934</v>
      </c>
      <c r="R7" s="320">
        <f t="shared" si="0"/>
        <v>3079838.8699999973</v>
      </c>
      <c r="S7" s="275">
        <v>2122627.5500000007</v>
      </c>
      <c r="T7" s="275">
        <v>957211.31999999657</v>
      </c>
      <c r="U7" s="155" t="str">
        <f t="shared" si="1"/>
        <v>OK</v>
      </c>
      <c r="V7" t="s">
        <v>21</v>
      </c>
      <c r="W7" s="271">
        <v>2122627.5500000007</v>
      </c>
      <c r="X7" s="271">
        <v>957211.31999999657</v>
      </c>
      <c r="Y7" s="271">
        <v>3079838.8699999973</v>
      </c>
    </row>
    <row r="8" spans="1:25" x14ac:dyDescent="0.35">
      <c r="A8" s="16" t="s">
        <v>357</v>
      </c>
      <c r="B8" s="271">
        <v>55580.630000000005</v>
      </c>
      <c r="C8" s="271">
        <v>43370.390000000007</v>
      </c>
      <c r="D8" s="271">
        <v>12210.240000000002</v>
      </c>
      <c r="F8" s="271">
        <v>43083.23</v>
      </c>
      <c r="G8" s="271">
        <v>31577.38</v>
      </c>
      <c r="H8" s="271">
        <v>11505.85</v>
      </c>
      <c r="J8" s="271">
        <v>69546.720000000001</v>
      </c>
      <c r="K8" s="271">
        <v>52844.86</v>
      </c>
      <c r="L8" s="271">
        <v>16701.859999999997</v>
      </c>
      <c r="N8" s="271">
        <v>32659.47</v>
      </c>
      <c r="O8" s="271">
        <v>25856.010000000002</v>
      </c>
      <c r="P8" s="271">
        <v>6803.4599999999991</v>
      </c>
      <c r="R8" s="320">
        <f t="shared" si="0"/>
        <v>5848.99</v>
      </c>
      <c r="S8" s="275">
        <v>235.19</v>
      </c>
      <c r="T8" s="275">
        <v>5613.8</v>
      </c>
      <c r="U8" s="155" t="str">
        <f t="shared" si="1"/>
        <v>OK</v>
      </c>
      <c r="V8" t="s">
        <v>357</v>
      </c>
      <c r="W8" s="271">
        <v>235.19</v>
      </c>
      <c r="X8" s="271">
        <v>5613.8</v>
      </c>
      <c r="Y8" s="271">
        <v>5848.99</v>
      </c>
    </row>
    <row r="9" spans="1:25" x14ac:dyDescent="0.35">
      <c r="A9" s="16" t="s">
        <v>0</v>
      </c>
      <c r="B9" s="271">
        <v>16628633.330000315</v>
      </c>
      <c r="C9" s="271">
        <v>11565056.440000108</v>
      </c>
      <c r="D9" s="271">
        <v>5063576.8900002064</v>
      </c>
      <c r="F9" s="271">
        <v>17212073.260000341</v>
      </c>
      <c r="G9" s="271">
        <v>11874059.140000129</v>
      </c>
      <c r="H9" s="271">
        <v>5338014.1200002125</v>
      </c>
      <c r="J9" s="271">
        <v>17572801.260000266</v>
      </c>
      <c r="K9" s="271">
        <v>12155551.06999997</v>
      </c>
      <c r="L9" s="271">
        <v>5417250.1900002947</v>
      </c>
      <c r="N9" s="271">
        <v>13775533.33000016</v>
      </c>
      <c r="O9" s="271">
        <v>9101337.2799999993</v>
      </c>
      <c r="P9" s="271">
        <v>4674196.0500001609</v>
      </c>
      <c r="R9" s="320">
        <f t="shared" si="0"/>
        <v>4625449.4500001194</v>
      </c>
      <c r="S9" s="275">
        <v>446411.46000000084</v>
      </c>
      <c r="T9" s="275">
        <v>4179037.990000119</v>
      </c>
      <c r="U9" s="155" t="str">
        <f t="shared" si="1"/>
        <v>OK</v>
      </c>
      <c r="V9" t="s">
        <v>0</v>
      </c>
      <c r="W9" s="271">
        <v>446411.46000000084</v>
      </c>
      <c r="X9" s="271">
        <v>4179037.990000119</v>
      </c>
      <c r="Y9" s="271">
        <v>4625449.4500001194</v>
      </c>
    </row>
    <row r="10" spans="1:25" x14ac:dyDescent="0.35">
      <c r="A10" s="16" t="s">
        <v>1</v>
      </c>
      <c r="B10" s="271">
        <v>14977893.37000047</v>
      </c>
      <c r="C10" s="271">
        <v>11664886.20000037</v>
      </c>
      <c r="D10" s="271">
        <v>3313007.170000101</v>
      </c>
      <c r="F10" s="271">
        <v>15951899.500000376</v>
      </c>
      <c r="G10" s="271">
        <v>12631905.520000262</v>
      </c>
      <c r="H10" s="271">
        <v>3319993.9800001145</v>
      </c>
      <c r="J10" s="271">
        <v>15801281.23000019</v>
      </c>
      <c r="K10" s="271">
        <v>12597546.470000088</v>
      </c>
      <c r="L10" s="271">
        <v>3203734.7600001018</v>
      </c>
      <c r="N10" s="271">
        <v>12433957.130000122</v>
      </c>
      <c r="O10" s="271">
        <v>9456872.3000000305</v>
      </c>
      <c r="P10" s="271">
        <v>2977084.8300000909</v>
      </c>
      <c r="R10" s="320">
        <f t="shared" si="0"/>
        <v>2768906.5699999938</v>
      </c>
      <c r="S10" s="275">
        <v>507245.82999999955</v>
      </c>
      <c r="T10" s="275">
        <v>2261660.7399999942</v>
      </c>
      <c r="U10" s="155" t="str">
        <f t="shared" si="1"/>
        <v>OK</v>
      </c>
      <c r="V10" t="s">
        <v>1</v>
      </c>
      <c r="W10" s="271">
        <v>507245.82999999955</v>
      </c>
      <c r="X10" s="271">
        <v>2261660.7399999942</v>
      </c>
      <c r="Y10" s="271">
        <v>2768906.5699999938</v>
      </c>
    </row>
    <row r="11" spans="1:25" x14ac:dyDescent="0.35">
      <c r="A11" s="16" t="s">
        <v>2</v>
      </c>
      <c r="B11" s="271">
        <v>858324.4800000008</v>
      </c>
      <c r="C11" s="271">
        <v>666148.49000000081</v>
      </c>
      <c r="D11" s="271">
        <v>192175.98999999996</v>
      </c>
      <c r="F11" s="271">
        <v>879074.09000000008</v>
      </c>
      <c r="G11" s="271">
        <v>729639.94000000006</v>
      </c>
      <c r="H11" s="271">
        <v>149434.15000000005</v>
      </c>
      <c r="J11" s="271">
        <v>818555.89999999991</v>
      </c>
      <c r="K11" s="271">
        <v>666066.63999999978</v>
      </c>
      <c r="L11" s="271">
        <v>152489.26000000007</v>
      </c>
      <c r="N11" s="271">
        <v>637682.95999999961</v>
      </c>
      <c r="O11" s="271">
        <v>509701.20999999961</v>
      </c>
      <c r="P11" s="271">
        <v>127981.74999999996</v>
      </c>
      <c r="R11" s="320">
        <f t="shared" si="0"/>
        <v>149948.24000000002</v>
      </c>
      <c r="S11" s="275">
        <v>30297.429999999997</v>
      </c>
      <c r="T11" s="275">
        <v>119650.81000000003</v>
      </c>
      <c r="U11" s="155" t="str">
        <f t="shared" si="1"/>
        <v>OK</v>
      </c>
      <c r="V11" t="s">
        <v>2</v>
      </c>
      <c r="W11" s="271">
        <v>30297.429999999997</v>
      </c>
      <c r="X11" s="271">
        <v>119650.81000000003</v>
      </c>
      <c r="Y11" s="271">
        <v>149948.24000000002</v>
      </c>
    </row>
    <row r="12" spans="1:25" x14ac:dyDescent="0.35">
      <c r="A12" s="16" t="s">
        <v>26</v>
      </c>
      <c r="B12" s="271">
        <v>148550.15000000002</v>
      </c>
      <c r="C12" s="271">
        <v>68965.169999999984</v>
      </c>
      <c r="D12" s="271">
        <v>79584.98000000004</v>
      </c>
      <c r="F12" s="271">
        <v>191789.46000000008</v>
      </c>
      <c r="G12" s="271">
        <v>100842.1200000001</v>
      </c>
      <c r="H12" s="271">
        <v>90947.339999999982</v>
      </c>
      <c r="J12" s="271">
        <v>253693.48000000004</v>
      </c>
      <c r="K12" s="271">
        <v>138216.43000000005</v>
      </c>
      <c r="L12" s="271">
        <v>115477.04999999997</v>
      </c>
      <c r="N12" s="271">
        <v>281567.44999999995</v>
      </c>
      <c r="O12" s="271">
        <v>143483.03999999995</v>
      </c>
      <c r="P12" s="271">
        <v>138084.40999999997</v>
      </c>
      <c r="R12" s="320">
        <f t="shared" si="0"/>
        <v>112780.84999999995</v>
      </c>
      <c r="S12" s="275">
        <v>9098.48</v>
      </c>
      <c r="T12" s="275">
        <v>103682.36999999995</v>
      </c>
      <c r="U12" s="155" t="str">
        <f t="shared" si="1"/>
        <v>OK</v>
      </c>
      <c r="V12" t="s">
        <v>26</v>
      </c>
      <c r="W12" s="271">
        <v>9098.48</v>
      </c>
      <c r="X12" s="271">
        <v>103682.36999999995</v>
      </c>
      <c r="Y12" s="271">
        <v>112780.84999999995</v>
      </c>
    </row>
    <row r="13" spans="1:25" x14ac:dyDescent="0.35">
      <c r="A13" s="16" t="s">
        <v>306</v>
      </c>
      <c r="B13" s="271">
        <v>1951405.3199999961</v>
      </c>
      <c r="C13" s="271">
        <v>1239068.5299999977</v>
      </c>
      <c r="D13" s="271">
        <v>712336.78999999841</v>
      </c>
      <c r="F13" s="271">
        <v>2570350.2399999951</v>
      </c>
      <c r="G13" s="271">
        <v>1697974.9899999974</v>
      </c>
      <c r="H13" s="271">
        <v>872375.24999999767</v>
      </c>
      <c r="J13" s="271">
        <v>2582883.7000000007</v>
      </c>
      <c r="K13" s="271">
        <v>1600114.800000004</v>
      </c>
      <c r="L13" s="271">
        <v>982768.89999999665</v>
      </c>
      <c r="N13" s="271">
        <v>1978049.1199999948</v>
      </c>
      <c r="O13" s="271">
        <v>1195689.2199999974</v>
      </c>
      <c r="P13" s="271">
        <v>782359.89999999735</v>
      </c>
      <c r="R13" s="320">
        <f t="shared" si="0"/>
        <v>495508.5399999998</v>
      </c>
      <c r="S13" s="275">
        <v>55263.020000000019</v>
      </c>
      <c r="T13" s="275">
        <v>440245.51999999979</v>
      </c>
      <c r="U13" s="155" t="str">
        <f t="shared" si="1"/>
        <v>OK</v>
      </c>
      <c r="V13" t="s">
        <v>306</v>
      </c>
      <c r="W13" s="271">
        <v>55263.020000000019</v>
      </c>
      <c r="X13" s="271">
        <v>440245.51999999979</v>
      </c>
      <c r="Y13" s="271">
        <v>495508.5399999998</v>
      </c>
    </row>
    <row r="14" spans="1:25" x14ac:dyDescent="0.35">
      <c r="A14" s="16" t="s">
        <v>3</v>
      </c>
      <c r="B14" s="271">
        <v>3500604.0099999858</v>
      </c>
      <c r="C14" s="271">
        <v>2322193.8899999917</v>
      </c>
      <c r="D14" s="271">
        <v>1178410.1199999941</v>
      </c>
      <c r="F14" s="271">
        <v>3821552.0499999914</v>
      </c>
      <c r="G14" s="271">
        <v>2620760.2499999991</v>
      </c>
      <c r="H14" s="271">
        <v>1200791.7999999924</v>
      </c>
      <c r="J14" s="271">
        <v>3871911.6999999937</v>
      </c>
      <c r="K14" s="271">
        <v>2595203.2799999965</v>
      </c>
      <c r="L14" s="271">
        <v>1276708.4199999969</v>
      </c>
      <c r="N14" s="271">
        <v>2755802.0499999924</v>
      </c>
      <c r="O14" s="271">
        <v>1666983.9099999964</v>
      </c>
      <c r="P14" s="271">
        <v>1088818.1399999959</v>
      </c>
      <c r="R14" s="320">
        <f t="shared" si="0"/>
        <v>549503.92999999912</v>
      </c>
      <c r="S14" s="275">
        <v>-29094.159999999996</v>
      </c>
      <c r="T14" s="275">
        <v>578598.08999999915</v>
      </c>
      <c r="U14" s="155" t="str">
        <f t="shared" si="1"/>
        <v>OK</v>
      </c>
      <c r="V14" t="s">
        <v>3</v>
      </c>
      <c r="W14" s="271">
        <v>-29094.159999999996</v>
      </c>
      <c r="X14" s="271">
        <v>578598.08999999915</v>
      </c>
      <c r="Y14" s="271">
        <v>549503.92999999912</v>
      </c>
    </row>
    <row r="15" spans="1:25" x14ac:dyDescent="0.35">
      <c r="A15" s="16" t="s">
        <v>22</v>
      </c>
      <c r="B15" s="271">
        <v>788918.60000000056</v>
      </c>
      <c r="C15" s="271">
        <v>353379.76999999984</v>
      </c>
      <c r="D15" s="271">
        <v>435538.83000000066</v>
      </c>
      <c r="F15" s="271">
        <v>814875.5400000005</v>
      </c>
      <c r="G15" s="271">
        <v>325859.74000000017</v>
      </c>
      <c r="H15" s="271">
        <v>489015.80000000028</v>
      </c>
      <c r="J15" s="271">
        <v>883984.11999999976</v>
      </c>
      <c r="K15" s="271">
        <v>342001.67999999947</v>
      </c>
      <c r="L15" s="271">
        <v>541982.44000000029</v>
      </c>
      <c r="N15" s="271">
        <v>575291.14000000025</v>
      </c>
      <c r="O15" s="271">
        <v>182428.9</v>
      </c>
      <c r="P15" s="271">
        <v>392862.24000000028</v>
      </c>
      <c r="R15" s="320">
        <f t="shared" si="0"/>
        <v>283346.18999999977</v>
      </c>
      <c r="S15" s="275">
        <v>-3671.0199999999995</v>
      </c>
      <c r="T15" s="275">
        <v>287017.20999999979</v>
      </c>
      <c r="U15" s="155" t="str">
        <f t="shared" si="1"/>
        <v>OK</v>
      </c>
      <c r="V15" t="s">
        <v>22</v>
      </c>
      <c r="W15" s="271">
        <v>-3671.0199999999995</v>
      </c>
      <c r="X15" s="271">
        <v>287017.20999999979</v>
      </c>
      <c r="Y15" s="271">
        <v>283346.18999999977</v>
      </c>
    </row>
    <row r="16" spans="1:25" x14ac:dyDescent="0.35">
      <c r="A16" s="16" t="s">
        <v>23</v>
      </c>
      <c r="B16" s="271">
        <v>342703.83999999973</v>
      </c>
      <c r="C16" s="271">
        <v>209551.07999999967</v>
      </c>
      <c r="D16" s="271">
        <v>133152.76000000007</v>
      </c>
      <c r="F16" s="271">
        <v>366586.61000000016</v>
      </c>
      <c r="G16" s="271">
        <v>239667.20000000016</v>
      </c>
      <c r="H16" s="271">
        <v>126919.41</v>
      </c>
      <c r="J16" s="271">
        <v>365516.98999999993</v>
      </c>
      <c r="K16" s="271">
        <v>244148.31999999995</v>
      </c>
      <c r="L16" s="271">
        <v>121368.67</v>
      </c>
      <c r="N16" s="271">
        <v>274955.86000000004</v>
      </c>
      <c r="O16" s="271">
        <v>171050.46000000002</v>
      </c>
      <c r="P16" s="271">
        <v>103905.40000000001</v>
      </c>
      <c r="R16" s="320">
        <f t="shared" si="0"/>
        <v>197644.73</v>
      </c>
      <c r="S16" s="275">
        <v>57931.99</v>
      </c>
      <c r="T16" s="275">
        <v>139712.74000000002</v>
      </c>
      <c r="U16" s="155" t="str">
        <f t="shared" si="1"/>
        <v>OK</v>
      </c>
      <c r="V16" t="s">
        <v>23</v>
      </c>
      <c r="W16" s="271">
        <v>57931.99</v>
      </c>
      <c r="X16" s="271">
        <v>139712.74000000002</v>
      </c>
      <c r="Y16" s="271">
        <v>197644.73</v>
      </c>
    </row>
    <row r="17" spans="1:25" x14ac:dyDescent="0.35">
      <c r="A17" s="16" t="s">
        <v>4</v>
      </c>
      <c r="B17" s="271">
        <v>545791.93000000028</v>
      </c>
      <c r="C17" s="271">
        <v>447194.66000000032</v>
      </c>
      <c r="D17" s="271">
        <v>98597.269999999975</v>
      </c>
      <c r="F17" s="271">
        <v>598778.4999999986</v>
      </c>
      <c r="G17" s="271">
        <v>498481.60999999859</v>
      </c>
      <c r="H17" s="271">
        <v>100296.88999999998</v>
      </c>
      <c r="J17" s="271">
        <v>785833.87</v>
      </c>
      <c r="K17" s="271">
        <v>668943.68000000005</v>
      </c>
      <c r="L17" s="271">
        <v>116890.18999999999</v>
      </c>
      <c r="N17" s="271">
        <v>560904.28000000038</v>
      </c>
      <c r="O17" s="271">
        <v>469966.84000000032</v>
      </c>
      <c r="P17" s="271">
        <v>90937.440000000046</v>
      </c>
      <c r="R17" s="320">
        <f t="shared" si="0"/>
        <v>115629.26000000004</v>
      </c>
      <c r="S17" s="275">
        <v>3995.5900000000006</v>
      </c>
      <c r="T17" s="275">
        <v>111633.67000000004</v>
      </c>
      <c r="U17" s="155" t="str">
        <f t="shared" si="1"/>
        <v>OK</v>
      </c>
      <c r="V17" t="s">
        <v>4</v>
      </c>
      <c r="W17" s="271">
        <v>3995.5900000000006</v>
      </c>
      <c r="X17" s="271">
        <v>111633.67000000004</v>
      </c>
      <c r="Y17" s="271">
        <v>115629.26000000004</v>
      </c>
    </row>
    <row r="18" spans="1:25" x14ac:dyDescent="0.35">
      <c r="A18" s="16" t="s">
        <v>6</v>
      </c>
      <c r="B18" s="271">
        <v>3883745.1199999731</v>
      </c>
      <c r="C18" s="271">
        <v>2689107.359999978</v>
      </c>
      <c r="D18" s="271">
        <v>1194637.7599999951</v>
      </c>
      <c r="F18" s="271">
        <v>3417207.1399999922</v>
      </c>
      <c r="G18" s="271">
        <v>2579165.269999994</v>
      </c>
      <c r="H18" s="271">
        <v>838041.86999999813</v>
      </c>
      <c r="J18" s="271">
        <v>3237596.5599999903</v>
      </c>
      <c r="K18" s="271">
        <v>2407996.8499999931</v>
      </c>
      <c r="L18" s="271">
        <v>829599.70999999705</v>
      </c>
      <c r="N18" s="271">
        <v>2606668.5599999959</v>
      </c>
      <c r="O18" s="271">
        <v>1579434.5699999968</v>
      </c>
      <c r="P18" s="271">
        <v>1027233.9899999993</v>
      </c>
      <c r="R18" s="320">
        <f t="shared" si="0"/>
        <v>405190.55000000028</v>
      </c>
      <c r="S18" s="275">
        <v>26483.990000000013</v>
      </c>
      <c r="T18" s="275">
        <v>378706.56000000029</v>
      </c>
      <c r="U18" s="155" t="str">
        <f t="shared" si="1"/>
        <v>OK</v>
      </c>
      <c r="V18" t="s">
        <v>6</v>
      </c>
      <c r="W18" s="271">
        <v>26483.990000000013</v>
      </c>
      <c r="X18" s="271">
        <v>378706.56000000029</v>
      </c>
      <c r="Y18" s="271">
        <v>405190.55000000028</v>
      </c>
    </row>
    <row r="19" spans="1:25" x14ac:dyDescent="0.35">
      <c r="A19" s="16" t="s">
        <v>5</v>
      </c>
      <c r="B19" s="271">
        <v>89971.400000000023</v>
      </c>
      <c r="C19" s="271">
        <v>49630.480000000025</v>
      </c>
      <c r="D19" s="271">
        <v>40340.92</v>
      </c>
      <c r="F19" s="271">
        <v>98770.799999999988</v>
      </c>
      <c r="G19" s="271">
        <v>44419.610000000008</v>
      </c>
      <c r="H19" s="271">
        <v>54351.189999999973</v>
      </c>
      <c r="J19" s="271">
        <v>94889.479999999952</v>
      </c>
      <c r="K19" s="271">
        <v>50258.519999999953</v>
      </c>
      <c r="L19" s="271">
        <v>44630.96</v>
      </c>
      <c r="N19" s="271">
        <v>81963.229999999981</v>
      </c>
      <c r="O19" s="271">
        <v>35620.55999999999</v>
      </c>
      <c r="P19" s="271">
        <v>46342.669999999984</v>
      </c>
      <c r="R19" s="320">
        <f t="shared" si="0"/>
        <v>37057.299999999996</v>
      </c>
      <c r="S19" s="275">
        <v>1558.34</v>
      </c>
      <c r="T19" s="275">
        <v>35498.959999999999</v>
      </c>
      <c r="U19" s="155" t="str">
        <f t="shared" si="1"/>
        <v>OK</v>
      </c>
      <c r="V19" t="s">
        <v>5</v>
      </c>
      <c r="W19" s="271">
        <v>1558.34</v>
      </c>
      <c r="X19" s="271">
        <v>35498.959999999999</v>
      </c>
      <c r="Y19" s="271">
        <v>37057.299999999996</v>
      </c>
    </row>
    <row r="20" spans="1:25" x14ac:dyDescent="0.35">
      <c r="A20" s="16" t="s">
        <v>24</v>
      </c>
      <c r="B20" s="271">
        <v>420605.81000000006</v>
      </c>
      <c r="C20" s="271">
        <v>382099.84000000008</v>
      </c>
      <c r="D20" s="271">
        <v>38505.97</v>
      </c>
      <c r="F20" s="271">
        <v>564591.1599999998</v>
      </c>
      <c r="G20" s="271">
        <v>522881.4699999998</v>
      </c>
      <c r="H20" s="271">
        <v>41709.69000000001</v>
      </c>
      <c r="J20" s="271">
        <v>704554.6600000005</v>
      </c>
      <c r="K20" s="271">
        <v>658908.65000000049</v>
      </c>
      <c r="L20" s="271">
        <v>45646.009999999987</v>
      </c>
      <c r="N20" s="271">
        <v>486266.62999999983</v>
      </c>
      <c r="O20" s="271">
        <v>461556.37999999983</v>
      </c>
      <c r="P20" s="271">
        <v>24710.249999999996</v>
      </c>
      <c r="R20" s="320">
        <f t="shared" si="0"/>
        <v>1487.9600000000064</v>
      </c>
      <c r="S20" s="275">
        <v>-15026.629999999997</v>
      </c>
      <c r="T20" s="275">
        <v>16514.590000000004</v>
      </c>
      <c r="U20" s="155" t="str">
        <f t="shared" si="1"/>
        <v>OK</v>
      </c>
      <c r="V20" t="s">
        <v>24</v>
      </c>
      <c r="W20" s="271">
        <v>-15026.629999999997</v>
      </c>
      <c r="X20" s="271">
        <v>16514.590000000004</v>
      </c>
      <c r="Y20" s="271">
        <v>1487.9600000000064</v>
      </c>
    </row>
    <row r="21" spans="1:25" x14ac:dyDescent="0.35">
      <c r="A21" s="16" t="s">
        <v>7</v>
      </c>
      <c r="B21" s="271">
        <v>1672215.1499999906</v>
      </c>
      <c r="C21" s="271">
        <v>1287873.6599999922</v>
      </c>
      <c r="D21" s="271">
        <v>384341.48999999848</v>
      </c>
      <c r="F21" s="271">
        <v>1852580.4899999977</v>
      </c>
      <c r="G21" s="271">
        <v>1432444.2199999986</v>
      </c>
      <c r="H21" s="271">
        <v>420136.26999999903</v>
      </c>
      <c r="J21" s="271">
        <v>1779156.4099999964</v>
      </c>
      <c r="K21" s="271">
        <v>1417299.9899999979</v>
      </c>
      <c r="L21" s="271">
        <v>361856.41999999841</v>
      </c>
      <c r="N21" s="271">
        <v>1343954.4200000002</v>
      </c>
      <c r="O21" s="271">
        <v>1003419.7300000014</v>
      </c>
      <c r="P21" s="271">
        <v>340534.68999999872</v>
      </c>
      <c r="R21" s="320">
        <f t="shared" si="0"/>
        <v>267079.67999999941</v>
      </c>
      <c r="S21" s="275">
        <v>6313.8999999999969</v>
      </c>
      <c r="T21" s="275">
        <v>260765.77999999942</v>
      </c>
      <c r="U21" s="155" t="str">
        <f t="shared" si="1"/>
        <v>OK</v>
      </c>
      <c r="V21" t="s">
        <v>7</v>
      </c>
      <c r="W21" s="271">
        <v>6313.8999999999969</v>
      </c>
      <c r="X21" s="271">
        <v>260765.77999999942</v>
      </c>
      <c r="Y21" s="271">
        <v>267079.67999999941</v>
      </c>
    </row>
    <row r="22" spans="1:25" x14ac:dyDescent="0.35">
      <c r="A22" s="16" t="s">
        <v>8</v>
      </c>
      <c r="B22" s="271">
        <v>494377.86000000167</v>
      </c>
      <c r="C22" s="271">
        <v>367556.80000000156</v>
      </c>
      <c r="D22" s="271">
        <v>126821.06000000011</v>
      </c>
      <c r="F22" s="271">
        <v>601091.68000000028</v>
      </c>
      <c r="G22" s="271">
        <v>404705.22000000032</v>
      </c>
      <c r="H22" s="271">
        <v>196386.45999999996</v>
      </c>
      <c r="J22" s="271">
        <v>534460.24999999988</v>
      </c>
      <c r="K22" s="271">
        <v>335788.00999999995</v>
      </c>
      <c r="L22" s="271">
        <v>198672.23999999993</v>
      </c>
      <c r="N22" s="271">
        <v>508376.31000000006</v>
      </c>
      <c r="O22" s="271">
        <v>343512.55</v>
      </c>
      <c r="P22" s="271">
        <v>164863.76000000004</v>
      </c>
      <c r="R22" s="320">
        <f t="shared" si="0"/>
        <v>114778.48999999987</v>
      </c>
      <c r="S22" s="275">
        <v>2553.8600000000006</v>
      </c>
      <c r="T22" s="275">
        <v>112224.62999999987</v>
      </c>
      <c r="U22" s="155" t="str">
        <f t="shared" si="1"/>
        <v>OK</v>
      </c>
      <c r="V22" t="s">
        <v>8</v>
      </c>
      <c r="W22" s="271">
        <v>2553.8600000000006</v>
      </c>
      <c r="X22" s="271">
        <v>112224.62999999987</v>
      </c>
      <c r="Y22" s="271">
        <v>114778.48999999987</v>
      </c>
    </row>
    <row r="23" spans="1:25" x14ac:dyDescent="0.35">
      <c r="A23" s="16" t="s">
        <v>19</v>
      </c>
      <c r="B23" s="271">
        <v>35231344.759998679</v>
      </c>
      <c r="C23" s="271">
        <v>23700775.759998444</v>
      </c>
      <c r="D23" s="271">
        <v>11530569.000000233</v>
      </c>
      <c r="F23" s="271">
        <v>36279102.290000372</v>
      </c>
      <c r="G23" s="271">
        <v>24971822.589999948</v>
      </c>
      <c r="H23" s="271">
        <v>11307279.700000426</v>
      </c>
      <c r="J23" s="271">
        <v>37779778.430000216</v>
      </c>
      <c r="K23" s="271">
        <v>25951778.869999792</v>
      </c>
      <c r="L23" s="271">
        <v>11827999.56000042</v>
      </c>
      <c r="N23" s="271">
        <v>28838792.290000174</v>
      </c>
      <c r="O23" s="271">
        <v>18150806.87999985</v>
      </c>
      <c r="P23" s="271">
        <v>10687985.410000324</v>
      </c>
      <c r="R23" s="320">
        <f t="shared" si="0"/>
        <v>10673404.840000166</v>
      </c>
      <c r="S23" s="275">
        <v>1800515.7499999944</v>
      </c>
      <c r="T23" s="275">
        <v>8872889.0900001712</v>
      </c>
      <c r="U23" s="155" t="str">
        <f t="shared" si="1"/>
        <v>OK</v>
      </c>
      <c r="V23" t="s">
        <v>19</v>
      </c>
      <c r="W23" s="271">
        <v>1800515.7499999944</v>
      </c>
      <c r="X23" s="271">
        <v>8872889.0900001712</v>
      </c>
      <c r="Y23" s="271">
        <v>10673404.840000166</v>
      </c>
    </row>
    <row r="24" spans="1:25" x14ac:dyDescent="0.35">
      <c r="A24" s="16" t="s">
        <v>20</v>
      </c>
      <c r="B24" s="271">
        <v>2803.9900000000002</v>
      </c>
      <c r="C24" s="271">
        <v>2782.8100000000004</v>
      </c>
      <c r="D24" s="271">
        <v>21.18</v>
      </c>
      <c r="F24" s="271">
        <v>470.71000000000004</v>
      </c>
      <c r="G24" s="271">
        <v>448.68</v>
      </c>
      <c r="H24" s="271">
        <v>22.03</v>
      </c>
      <c r="J24" s="271">
        <v>1373.1799999999998</v>
      </c>
      <c r="K24" s="271">
        <v>480.79999999999995</v>
      </c>
      <c r="L24" s="271">
        <v>892.38</v>
      </c>
      <c r="N24" s="271">
        <v>637.34999999999991</v>
      </c>
      <c r="O24" s="271">
        <v>324.39999999999998</v>
      </c>
      <c r="P24" s="271">
        <v>312.95</v>
      </c>
      <c r="R24" s="320">
        <f t="shared" si="0"/>
        <v>1367.93</v>
      </c>
      <c r="S24" s="275">
        <v>54.39</v>
      </c>
      <c r="T24" s="275">
        <v>1313.54</v>
      </c>
      <c r="U24" s="155" t="str">
        <f t="shared" si="1"/>
        <v>OK</v>
      </c>
      <c r="V24" t="s">
        <v>20</v>
      </c>
      <c r="W24" s="271">
        <v>54.39</v>
      </c>
      <c r="X24" s="271">
        <v>1313.54</v>
      </c>
      <c r="Y24" s="271">
        <v>1367.93</v>
      </c>
    </row>
    <row r="25" spans="1:25" x14ac:dyDescent="0.35">
      <c r="A25" s="16" t="s">
        <v>27</v>
      </c>
      <c r="B25" s="271">
        <v>37781.17</v>
      </c>
      <c r="C25" s="271">
        <v>17657.669999999998</v>
      </c>
      <c r="D25" s="271">
        <v>20123.500000000004</v>
      </c>
      <c r="F25" s="271">
        <v>39859.57</v>
      </c>
      <c r="G25" s="271">
        <v>13814.599999999999</v>
      </c>
      <c r="H25" s="271">
        <v>26044.97</v>
      </c>
      <c r="J25" s="271">
        <v>36150.920000000006</v>
      </c>
      <c r="K25" s="271">
        <v>21176.260000000002</v>
      </c>
      <c r="L25" s="271">
        <v>14974.660000000002</v>
      </c>
      <c r="N25" s="271">
        <v>48196.549999999988</v>
      </c>
      <c r="O25" s="271">
        <v>24234.209999999992</v>
      </c>
      <c r="P25" s="271">
        <v>23962.34</v>
      </c>
      <c r="R25" s="320">
        <f t="shared" si="0"/>
        <v>38989.719999999994</v>
      </c>
      <c r="S25" s="275">
        <v>4104.79</v>
      </c>
      <c r="T25" s="275">
        <v>34884.929999999993</v>
      </c>
      <c r="U25" s="155" t="str">
        <f t="shared" si="1"/>
        <v>OK</v>
      </c>
      <c r="V25" t="s">
        <v>27</v>
      </c>
      <c r="W25" s="271">
        <v>4104.79</v>
      </c>
      <c r="X25" s="271">
        <v>34884.929999999993</v>
      </c>
      <c r="Y25" s="271">
        <v>38989.719999999994</v>
      </c>
    </row>
    <row r="26" spans="1:25" x14ac:dyDescent="0.35">
      <c r="A26" s="16" t="s">
        <v>9</v>
      </c>
      <c r="B26" s="271">
        <v>423869.87999999977</v>
      </c>
      <c r="C26" s="271">
        <v>293398.50999999978</v>
      </c>
      <c r="D26" s="271">
        <v>130471.37</v>
      </c>
      <c r="F26" s="271">
        <v>376018.2100000002</v>
      </c>
      <c r="G26" s="271">
        <v>274326.41000000021</v>
      </c>
      <c r="H26" s="271">
        <v>101691.80000000002</v>
      </c>
      <c r="J26" s="271">
        <v>445292.95000000013</v>
      </c>
      <c r="K26" s="271">
        <v>325830.28000000014</v>
      </c>
      <c r="L26" s="271">
        <v>119462.66999999997</v>
      </c>
      <c r="N26" s="271">
        <v>355962.01000000018</v>
      </c>
      <c r="O26" s="271">
        <v>227846.28000000006</v>
      </c>
      <c r="P26" s="271">
        <v>128115.73000000014</v>
      </c>
      <c r="R26" s="320">
        <f t="shared" si="0"/>
        <v>112851.79000000001</v>
      </c>
      <c r="S26" s="275">
        <v>19143.549999999996</v>
      </c>
      <c r="T26" s="275">
        <v>93708.24000000002</v>
      </c>
      <c r="U26" s="155" t="str">
        <f t="shared" si="1"/>
        <v>OK</v>
      </c>
      <c r="V26" t="s">
        <v>9</v>
      </c>
      <c r="W26" s="271">
        <v>19143.549999999996</v>
      </c>
      <c r="X26" s="271">
        <v>93708.24000000002</v>
      </c>
      <c r="Y26" s="271">
        <v>112851.79000000001</v>
      </c>
    </row>
    <row r="27" spans="1:25" x14ac:dyDescent="0.35">
      <c r="A27" s="16" t="s">
        <v>342</v>
      </c>
      <c r="B27" s="271">
        <v>7140059.3700000485</v>
      </c>
      <c r="C27" s="271">
        <v>5681293.4000000544</v>
      </c>
      <c r="D27" s="271">
        <v>1458765.9699999942</v>
      </c>
      <c r="F27" s="271">
        <v>7498797.5899999738</v>
      </c>
      <c r="G27" s="271">
        <v>6003290.1199999833</v>
      </c>
      <c r="H27" s="271">
        <v>1495507.4699999907</v>
      </c>
      <c r="J27" s="271">
        <v>7767975.189999993</v>
      </c>
      <c r="K27" s="271">
        <v>6240894.900000005</v>
      </c>
      <c r="L27" s="271">
        <v>1527080.2899999877</v>
      </c>
      <c r="N27" s="271">
        <v>5283620.6899999939</v>
      </c>
      <c r="O27" s="271">
        <v>3970762.2900000066</v>
      </c>
      <c r="P27" s="271">
        <v>1312858.3999999876</v>
      </c>
      <c r="R27" s="320">
        <f t="shared" si="0"/>
        <v>1107861.7799999982</v>
      </c>
      <c r="S27" s="275">
        <v>74209.329999999914</v>
      </c>
      <c r="T27" s="275">
        <v>1033652.4499999982</v>
      </c>
      <c r="U27" s="155" t="str">
        <f t="shared" si="1"/>
        <v>OK</v>
      </c>
      <c r="V27" t="s">
        <v>342</v>
      </c>
      <c r="W27" s="271">
        <v>74209.329999999914</v>
      </c>
      <c r="X27" s="271">
        <v>1033652.4499999982</v>
      </c>
      <c r="Y27" s="271">
        <v>1107861.7799999982</v>
      </c>
    </row>
    <row r="28" spans="1:25" x14ac:dyDescent="0.35">
      <c r="A28" s="16" t="s">
        <v>178</v>
      </c>
      <c r="B28" s="271">
        <v>1336519.8600000003</v>
      </c>
      <c r="C28" s="271">
        <v>1029086.8200000006</v>
      </c>
      <c r="D28" s="271">
        <v>307433.03999999975</v>
      </c>
      <c r="F28" s="271">
        <v>1399198.19</v>
      </c>
      <c r="G28" s="271">
        <v>1045112.2799999997</v>
      </c>
      <c r="H28" s="271">
        <v>354085.91000000027</v>
      </c>
      <c r="J28" s="271">
        <v>1505502.4899999979</v>
      </c>
      <c r="K28" s="271">
        <v>1139356.2899999977</v>
      </c>
      <c r="L28" s="271">
        <v>366146.20000000013</v>
      </c>
      <c r="N28" s="271">
        <v>1105045.8499999994</v>
      </c>
      <c r="O28" s="271">
        <v>784546.8199999996</v>
      </c>
      <c r="P28" s="271">
        <v>320499.02999999974</v>
      </c>
      <c r="R28" s="320">
        <f t="shared" si="0"/>
        <v>252248.55000000005</v>
      </c>
      <c r="S28" s="275">
        <v>73224.11</v>
      </c>
      <c r="T28" s="275">
        <v>179024.44000000003</v>
      </c>
      <c r="U28" s="155" t="str">
        <f t="shared" si="1"/>
        <v>OK</v>
      </c>
      <c r="V28" t="s">
        <v>178</v>
      </c>
      <c r="W28" s="271">
        <v>73224.11</v>
      </c>
      <c r="X28" s="271">
        <v>179024.44000000003</v>
      </c>
      <c r="Y28" s="271">
        <v>252248.55000000005</v>
      </c>
    </row>
    <row r="29" spans="1:25" x14ac:dyDescent="0.35">
      <c r="A29" s="16" t="s">
        <v>10</v>
      </c>
      <c r="B29" s="271">
        <v>1726247.7499999986</v>
      </c>
      <c r="C29" s="271">
        <v>1195656.8899999987</v>
      </c>
      <c r="D29" s="271">
        <v>530590.85999999975</v>
      </c>
      <c r="F29" s="271">
        <v>1717474.6599999983</v>
      </c>
      <c r="G29" s="271">
        <v>1194167.4799999986</v>
      </c>
      <c r="H29" s="271">
        <v>523307.17999999959</v>
      </c>
      <c r="J29" s="271">
        <v>2021902.370000002</v>
      </c>
      <c r="K29" s="271">
        <v>1407458.1900000016</v>
      </c>
      <c r="L29" s="271">
        <v>614444.1800000004</v>
      </c>
      <c r="N29" s="271">
        <v>1582623.2200000004</v>
      </c>
      <c r="O29" s="271">
        <v>1005225.3600000008</v>
      </c>
      <c r="P29" s="271">
        <v>577397.85999999964</v>
      </c>
      <c r="R29" s="320">
        <f t="shared" si="0"/>
        <v>592696.38999999978</v>
      </c>
      <c r="S29" s="275">
        <v>73741.50999999998</v>
      </c>
      <c r="T29" s="275">
        <v>518954.87999999977</v>
      </c>
      <c r="U29" s="155" t="str">
        <f t="shared" si="1"/>
        <v>OK</v>
      </c>
      <c r="V29" t="s">
        <v>10</v>
      </c>
      <c r="W29" s="271">
        <v>73741.50999999998</v>
      </c>
      <c r="X29" s="271">
        <v>518954.87999999977</v>
      </c>
      <c r="Y29" s="271">
        <v>592696.38999999978</v>
      </c>
    </row>
    <row r="30" spans="1:25" x14ac:dyDescent="0.35">
      <c r="A30" s="16" t="s">
        <v>11</v>
      </c>
      <c r="B30" s="271">
        <v>1110726.6300000011</v>
      </c>
      <c r="C30" s="271">
        <v>947594.76000000094</v>
      </c>
      <c r="D30" s="271">
        <v>163131.87000000011</v>
      </c>
      <c r="F30" s="271">
        <v>1518994.4399999995</v>
      </c>
      <c r="G30" s="271">
        <v>1310457.1199999994</v>
      </c>
      <c r="H30" s="271">
        <v>208537.32000000018</v>
      </c>
      <c r="J30" s="271">
        <v>1255194.7799999989</v>
      </c>
      <c r="K30" s="271">
        <v>1067963.1299999983</v>
      </c>
      <c r="L30" s="271">
        <v>187231.65000000058</v>
      </c>
      <c r="N30" s="271">
        <v>1122702.1699999997</v>
      </c>
      <c r="O30" s="271">
        <v>921165.78999999957</v>
      </c>
      <c r="P30" s="271">
        <v>201536.38000000015</v>
      </c>
      <c r="R30" s="320">
        <f t="shared" si="0"/>
        <v>238122.7600000001</v>
      </c>
      <c r="S30" s="275">
        <v>17369.62</v>
      </c>
      <c r="T30" s="275">
        <v>220753.1400000001</v>
      </c>
      <c r="U30" s="155" t="str">
        <f t="shared" si="1"/>
        <v>OK</v>
      </c>
      <c r="V30" t="s">
        <v>11</v>
      </c>
      <c r="W30" s="271">
        <v>17369.62</v>
      </c>
      <c r="X30" s="271">
        <v>220753.1400000001</v>
      </c>
      <c r="Y30" s="271">
        <v>238122.7600000001</v>
      </c>
    </row>
    <row r="31" spans="1:25" x14ac:dyDescent="0.35">
      <c r="A31" s="16" t="s">
        <v>12</v>
      </c>
      <c r="B31" s="271">
        <v>933398.4999999993</v>
      </c>
      <c r="C31" s="271">
        <v>737786.96999999916</v>
      </c>
      <c r="D31" s="271">
        <v>195611.53000000014</v>
      </c>
      <c r="F31" s="271">
        <v>1039063.3499999996</v>
      </c>
      <c r="G31" s="271">
        <v>820576.94999999972</v>
      </c>
      <c r="H31" s="271">
        <v>218486.39999999988</v>
      </c>
      <c r="J31" s="271">
        <v>1272501.03</v>
      </c>
      <c r="K31" s="271">
        <v>954650.25000000012</v>
      </c>
      <c r="L31" s="271">
        <v>317850.77999999985</v>
      </c>
      <c r="N31" s="271">
        <v>1033026.7099999997</v>
      </c>
      <c r="O31" s="271">
        <v>702531.68999999983</v>
      </c>
      <c r="P31" s="271">
        <v>330495.01999999996</v>
      </c>
      <c r="R31" s="320">
        <f t="shared" si="0"/>
        <v>326370.05999999988</v>
      </c>
      <c r="S31" s="275">
        <v>58002.96</v>
      </c>
      <c r="T31" s="275">
        <v>268367.09999999986</v>
      </c>
      <c r="U31" s="155" t="str">
        <f t="shared" si="1"/>
        <v>OK</v>
      </c>
      <c r="V31" t="s">
        <v>12</v>
      </c>
      <c r="W31" s="271">
        <v>58002.96</v>
      </c>
      <c r="X31" s="271">
        <v>268367.09999999986</v>
      </c>
      <c r="Y31" s="271">
        <v>326370.05999999988</v>
      </c>
    </row>
    <row r="32" spans="1:25" x14ac:dyDescent="0.35">
      <c r="A32" s="16" t="s">
        <v>13</v>
      </c>
      <c r="B32" s="271">
        <v>667802.38000000012</v>
      </c>
      <c r="C32" s="271">
        <v>480826.07</v>
      </c>
      <c r="D32" s="271">
        <v>186976.31000000017</v>
      </c>
      <c r="F32" s="271">
        <v>593643.18999999866</v>
      </c>
      <c r="G32" s="271">
        <v>398829.90999999869</v>
      </c>
      <c r="H32" s="271">
        <v>194813.27999999994</v>
      </c>
      <c r="J32" s="271">
        <v>658105.24999999953</v>
      </c>
      <c r="K32" s="271">
        <v>432782.44999999943</v>
      </c>
      <c r="L32" s="271">
        <v>225322.80000000008</v>
      </c>
      <c r="N32" s="271">
        <v>416676.96000000014</v>
      </c>
      <c r="O32" s="271">
        <v>267132.94000000012</v>
      </c>
      <c r="P32" s="271">
        <v>149544.02000000002</v>
      </c>
      <c r="R32" s="320">
        <f t="shared" si="0"/>
        <v>187537.73999999996</v>
      </c>
      <c r="S32" s="275">
        <v>9894.02</v>
      </c>
      <c r="T32" s="275">
        <v>177643.71999999997</v>
      </c>
      <c r="U32" s="155" t="str">
        <f t="shared" si="1"/>
        <v>OK</v>
      </c>
      <c r="V32" t="s">
        <v>13</v>
      </c>
      <c r="W32" s="271">
        <v>9894.02</v>
      </c>
      <c r="X32" s="271">
        <v>177643.71999999997</v>
      </c>
      <c r="Y32" s="271">
        <v>187537.73999999996</v>
      </c>
    </row>
    <row r="33" spans="1:25" x14ac:dyDescent="0.35">
      <c r="A33" s="16" t="s">
        <v>343</v>
      </c>
      <c r="B33" s="271">
        <v>1306880.9599999995</v>
      </c>
      <c r="C33" s="271">
        <v>931704.49999999965</v>
      </c>
      <c r="D33" s="271">
        <v>375176.4599999999</v>
      </c>
      <c r="F33" s="271">
        <v>1641296.7200000004</v>
      </c>
      <c r="G33" s="271">
        <v>1196836.8500000006</v>
      </c>
      <c r="H33" s="271">
        <v>444459.86999999994</v>
      </c>
      <c r="J33" s="271">
        <v>1455487.1599999978</v>
      </c>
      <c r="K33" s="271">
        <v>970994.51999999781</v>
      </c>
      <c r="L33" s="271">
        <v>484492.63999999996</v>
      </c>
      <c r="N33" s="271">
        <v>1173810.8700000003</v>
      </c>
      <c r="O33" s="271">
        <v>767247.8800000007</v>
      </c>
      <c r="P33" s="271">
        <v>406562.98999999964</v>
      </c>
      <c r="R33" s="320">
        <f t="shared" si="0"/>
        <v>236402.77999999985</v>
      </c>
      <c r="S33" s="275">
        <v>18759.210000000006</v>
      </c>
      <c r="T33" s="275">
        <v>217643.56999999986</v>
      </c>
      <c r="U33" s="155" t="str">
        <f t="shared" si="1"/>
        <v>OK</v>
      </c>
      <c r="V33" t="s">
        <v>343</v>
      </c>
      <c r="W33" s="271">
        <v>18759.210000000006</v>
      </c>
      <c r="X33" s="271">
        <v>217643.56999999986</v>
      </c>
      <c r="Y33" s="271">
        <v>236402.77999999985</v>
      </c>
    </row>
    <row r="34" spans="1:25" x14ac:dyDescent="0.35">
      <c r="A34" s="16" t="s">
        <v>14</v>
      </c>
      <c r="B34" s="271">
        <v>972615.50000000035</v>
      </c>
      <c r="C34" s="271">
        <v>760299.56000000041</v>
      </c>
      <c r="D34" s="271">
        <v>212315.93999999997</v>
      </c>
      <c r="F34" s="271">
        <v>1073727.860000001</v>
      </c>
      <c r="G34" s="271">
        <v>829217.11000000068</v>
      </c>
      <c r="H34" s="271">
        <v>244510.75000000038</v>
      </c>
      <c r="J34" s="271">
        <v>1135273.4799999986</v>
      </c>
      <c r="K34" s="271">
        <v>842423.12999999814</v>
      </c>
      <c r="L34" s="271">
        <v>292850.35000000033</v>
      </c>
      <c r="N34" s="271">
        <v>906485.95999999926</v>
      </c>
      <c r="O34" s="271">
        <v>606656.34999999928</v>
      </c>
      <c r="P34" s="271">
        <v>299829.61</v>
      </c>
      <c r="R34" s="320">
        <f t="shared" si="0"/>
        <v>273003.99999999988</v>
      </c>
      <c r="S34" s="275">
        <v>28927.890000000014</v>
      </c>
      <c r="T34" s="275">
        <v>244076.1099999999</v>
      </c>
      <c r="U34" s="155" t="str">
        <f t="shared" si="1"/>
        <v>OK</v>
      </c>
      <c r="V34" t="s">
        <v>14</v>
      </c>
      <c r="W34" s="271">
        <v>28927.890000000014</v>
      </c>
      <c r="X34" s="271">
        <v>244076.1099999999</v>
      </c>
      <c r="Y34" s="271">
        <v>273003.99999999988</v>
      </c>
    </row>
    <row r="35" spans="1:25" x14ac:dyDescent="0.35">
      <c r="A35" s="16" t="s">
        <v>15</v>
      </c>
      <c r="B35" s="271">
        <v>3734081.9399999771</v>
      </c>
      <c r="C35" s="271">
        <v>2786507.7799999807</v>
      </c>
      <c r="D35" s="271">
        <v>947574.15999999666</v>
      </c>
      <c r="F35" s="271">
        <v>3683235.6399999829</v>
      </c>
      <c r="G35" s="271">
        <v>2754627.9099999857</v>
      </c>
      <c r="H35" s="271">
        <v>928607.72999999695</v>
      </c>
      <c r="J35" s="271">
        <v>3762367.2399999946</v>
      </c>
      <c r="K35" s="271">
        <v>2841328.0799999973</v>
      </c>
      <c r="L35" s="271">
        <v>921039.15999999747</v>
      </c>
      <c r="N35" s="271">
        <v>2918299.8100000028</v>
      </c>
      <c r="O35" s="271">
        <v>2120500.9600000056</v>
      </c>
      <c r="P35" s="271">
        <v>797798.84999999718</v>
      </c>
      <c r="R35" s="320">
        <f t="shared" si="0"/>
        <v>900122.71000000031</v>
      </c>
      <c r="S35" s="275">
        <v>131955.35999999999</v>
      </c>
      <c r="T35" s="275">
        <v>768167.35000000033</v>
      </c>
      <c r="U35" s="155" t="str">
        <f t="shared" si="1"/>
        <v>OK</v>
      </c>
      <c r="V35" t="s">
        <v>15</v>
      </c>
      <c r="W35" s="271">
        <v>131955.35999999999</v>
      </c>
      <c r="X35" s="271">
        <v>768167.35000000033</v>
      </c>
      <c r="Y35" s="271">
        <v>900122.71000000031</v>
      </c>
    </row>
    <row r="36" spans="1:25" x14ac:dyDescent="0.35">
      <c r="A36" s="16" t="s">
        <v>16</v>
      </c>
      <c r="B36" s="271">
        <v>837725.40000000154</v>
      </c>
      <c r="C36" s="271">
        <v>650505.03000000166</v>
      </c>
      <c r="D36" s="271">
        <v>187220.36999999994</v>
      </c>
      <c r="F36" s="271">
        <v>1042649.6700000011</v>
      </c>
      <c r="G36" s="271">
        <v>782349.63000000117</v>
      </c>
      <c r="H36" s="271">
        <v>260300.03999999992</v>
      </c>
      <c r="J36" s="271">
        <v>1176834.9500000009</v>
      </c>
      <c r="K36" s="271">
        <v>817975.06000000099</v>
      </c>
      <c r="L36" s="271">
        <v>358859.88999999984</v>
      </c>
      <c r="N36" s="271">
        <v>905228.74000000115</v>
      </c>
      <c r="O36" s="271">
        <v>532028.60000000079</v>
      </c>
      <c r="P36" s="271">
        <v>373200.14000000036</v>
      </c>
      <c r="R36" s="320">
        <f t="shared" si="0"/>
        <v>241650.9699999998</v>
      </c>
      <c r="S36" s="275">
        <v>19364.020000000011</v>
      </c>
      <c r="T36" s="275">
        <v>222286.94999999978</v>
      </c>
      <c r="U36" s="155" t="str">
        <f t="shared" si="1"/>
        <v>OK</v>
      </c>
      <c r="V36" t="s">
        <v>16</v>
      </c>
      <c r="W36" s="271">
        <v>19364.020000000011</v>
      </c>
      <c r="X36" s="271">
        <v>222286.94999999978</v>
      </c>
      <c r="Y36" s="271">
        <v>241650.9699999998</v>
      </c>
    </row>
    <row r="37" spans="1:25" x14ac:dyDescent="0.35">
      <c r="A37" s="16" t="s">
        <v>344</v>
      </c>
      <c r="B37" s="271">
        <v>48046.89</v>
      </c>
      <c r="C37" s="271">
        <v>25428.179999999989</v>
      </c>
      <c r="D37" s="271">
        <v>22618.710000000014</v>
      </c>
      <c r="F37" s="271">
        <v>67124.789999999979</v>
      </c>
      <c r="G37" s="271">
        <v>44067.559999999976</v>
      </c>
      <c r="H37" s="271">
        <v>23057.23</v>
      </c>
      <c r="J37" s="271">
        <v>74871.580000000016</v>
      </c>
      <c r="K37" s="271">
        <v>36963.230000000003</v>
      </c>
      <c r="L37" s="271">
        <v>37908.350000000006</v>
      </c>
      <c r="N37" s="271">
        <v>73948.389999999985</v>
      </c>
      <c r="O37" s="271">
        <v>48674.869999999995</v>
      </c>
      <c r="P37" s="271">
        <v>25273.519999999997</v>
      </c>
      <c r="R37" s="320">
        <f t="shared" si="0"/>
        <v>9918.7199999999975</v>
      </c>
      <c r="S37" s="275">
        <v>-3152.57</v>
      </c>
      <c r="T37" s="275">
        <v>13071.289999999997</v>
      </c>
      <c r="U37" s="155" t="str">
        <f t="shared" si="1"/>
        <v>OK</v>
      </c>
      <c r="V37" t="s">
        <v>344</v>
      </c>
      <c r="W37" s="271">
        <v>-3152.57</v>
      </c>
      <c r="X37" s="271">
        <v>13071.289999999997</v>
      </c>
      <c r="Y37" s="271">
        <v>9918.7199999999975</v>
      </c>
    </row>
    <row r="38" spans="1:25" x14ac:dyDescent="0.35">
      <c r="A38" s="16" t="s">
        <v>17</v>
      </c>
      <c r="B38" s="271">
        <v>1125698.5100000012</v>
      </c>
      <c r="C38" s="271">
        <v>620681.37000000034</v>
      </c>
      <c r="D38" s="271">
        <v>505017.14000000083</v>
      </c>
      <c r="F38" s="271">
        <v>1163237.1599999995</v>
      </c>
      <c r="G38" s="271">
        <v>602378.28999999992</v>
      </c>
      <c r="H38" s="271">
        <v>560858.86999999953</v>
      </c>
      <c r="J38" s="271">
        <v>1209653.3499999994</v>
      </c>
      <c r="K38" s="271">
        <v>697023.86999999953</v>
      </c>
      <c r="L38" s="271">
        <v>512629.47999999992</v>
      </c>
      <c r="N38" s="271">
        <v>991539.29999999935</v>
      </c>
      <c r="O38" s="271">
        <v>464088.54999999976</v>
      </c>
      <c r="P38" s="271">
        <v>527450.74999999953</v>
      </c>
      <c r="R38" s="320">
        <f t="shared" si="0"/>
        <v>434175.61000000028</v>
      </c>
      <c r="S38" s="275">
        <v>26980.000000000007</v>
      </c>
      <c r="T38" s="275">
        <v>407195.61000000028</v>
      </c>
      <c r="U38" s="155" t="str">
        <f t="shared" si="1"/>
        <v>OK</v>
      </c>
      <c r="V38" t="s">
        <v>17</v>
      </c>
      <c r="W38" s="271">
        <v>26980.000000000007</v>
      </c>
      <c r="X38" s="271">
        <v>407195.61000000028</v>
      </c>
      <c r="Y38" s="271">
        <v>434175.61000000028</v>
      </c>
    </row>
    <row r="39" spans="1:25" x14ac:dyDescent="0.35">
      <c r="A39" s="16" t="s">
        <v>358</v>
      </c>
      <c r="B39" s="271">
        <v>1161712.4400000004</v>
      </c>
      <c r="C39" s="271">
        <v>935090.14000000036</v>
      </c>
      <c r="D39" s="271">
        <v>226622.30000000002</v>
      </c>
      <c r="F39" s="271">
        <v>1163197.050000001</v>
      </c>
      <c r="G39" s="271">
        <v>909723.18000000122</v>
      </c>
      <c r="H39" s="271">
        <v>253473.86999999985</v>
      </c>
      <c r="J39" s="271">
        <v>1029811.6400000012</v>
      </c>
      <c r="K39" s="271">
        <v>815322.12000000116</v>
      </c>
      <c r="L39" s="271">
        <v>214489.52</v>
      </c>
      <c r="N39" s="271">
        <v>811601.30999999936</v>
      </c>
      <c r="O39" s="271">
        <v>587413.35999999964</v>
      </c>
      <c r="P39" s="271">
        <v>224187.94999999969</v>
      </c>
      <c r="R39" s="320">
        <f t="shared" si="0"/>
        <v>143835.77999999997</v>
      </c>
      <c r="S39" s="275">
        <v>9882.42</v>
      </c>
      <c r="T39" s="275">
        <v>133953.35999999996</v>
      </c>
      <c r="U39" s="155" t="str">
        <f t="shared" si="1"/>
        <v>OK</v>
      </c>
      <c r="V39" t="s">
        <v>358</v>
      </c>
      <c r="W39" s="271">
        <v>9882.42</v>
      </c>
      <c r="X39" s="271">
        <v>133953.35999999996</v>
      </c>
      <c r="Y39" s="271">
        <v>143835.77999999997</v>
      </c>
    </row>
    <row r="40" spans="1:25" x14ac:dyDescent="0.35">
      <c r="A40" s="16" t="s">
        <v>25</v>
      </c>
      <c r="B40" s="271">
        <v>543568.08000000031</v>
      </c>
      <c r="C40" s="271">
        <v>236968.53000000026</v>
      </c>
      <c r="D40" s="271">
        <v>306599.55</v>
      </c>
      <c r="F40" s="271">
        <v>596939.75</v>
      </c>
      <c r="G40" s="271">
        <v>241589.29000000012</v>
      </c>
      <c r="H40" s="271">
        <v>355350.45999999985</v>
      </c>
      <c r="J40" s="271">
        <v>621328.23999999929</v>
      </c>
      <c r="K40" s="271">
        <v>255555.16999999975</v>
      </c>
      <c r="L40" s="271">
        <v>365773.0699999996</v>
      </c>
      <c r="N40" s="271">
        <v>506725.34999999963</v>
      </c>
      <c r="O40" s="271">
        <v>200932.41000000003</v>
      </c>
      <c r="P40" s="271">
        <v>305792.93999999959</v>
      </c>
      <c r="R40" s="320">
        <f t="shared" si="0"/>
        <v>148670.29000000007</v>
      </c>
      <c r="S40" s="275">
        <v>-2513.13</v>
      </c>
      <c r="T40" s="275">
        <v>151183.42000000007</v>
      </c>
      <c r="U40" s="155" t="str">
        <f t="shared" si="1"/>
        <v>OK</v>
      </c>
      <c r="V40" t="s">
        <v>25</v>
      </c>
      <c r="W40" s="271">
        <v>-2513.13</v>
      </c>
      <c r="X40" s="271">
        <v>151183.42000000007</v>
      </c>
      <c r="Y40" s="271">
        <v>148670.29000000007</v>
      </c>
    </row>
    <row r="41" spans="1:25" x14ac:dyDescent="0.35">
      <c r="A41" s="16" t="s">
        <v>18</v>
      </c>
      <c r="B41" s="271">
        <v>1438226.8799999976</v>
      </c>
      <c r="C41" s="271">
        <v>846649.00999999861</v>
      </c>
      <c r="D41" s="271">
        <v>591577.86999999906</v>
      </c>
      <c r="F41" s="271">
        <v>1385337.9299999974</v>
      </c>
      <c r="G41" s="271">
        <v>792884.60999999847</v>
      </c>
      <c r="H41" s="271">
        <v>592453.31999999902</v>
      </c>
      <c r="J41" s="271">
        <v>1408572.959999999</v>
      </c>
      <c r="K41" s="271">
        <v>873572.70999999868</v>
      </c>
      <c r="L41" s="271">
        <v>535000.25000000023</v>
      </c>
      <c r="N41" s="271">
        <v>1026351.2999999996</v>
      </c>
      <c r="O41" s="271">
        <v>573074.92999999959</v>
      </c>
      <c r="P41" s="271">
        <v>453276.37</v>
      </c>
      <c r="R41" s="320">
        <f t="shared" si="0"/>
        <v>191683.10000000018</v>
      </c>
      <c r="S41" s="275">
        <v>18260.349999999999</v>
      </c>
      <c r="T41" s="275">
        <v>173422.75000000017</v>
      </c>
      <c r="U41" s="155" t="str">
        <f t="shared" si="1"/>
        <v>OK</v>
      </c>
      <c r="V41" t="s">
        <v>18</v>
      </c>
      <c r="W41" s="271">
        <v>18260.349999999999</v>
      </c>
      <c r="X41" s="271">
        <v>173422.75000000017</v>
      </c>
      <c r="Y41" s="271">
        <v>191683.10000000018</v>
      </c>
    </row>
    <row r="42" spans="1:25" x14ac:dyDescent="0.35">
      <c r="A42" s="16" t="s">
        <v>353</v>
      </c>
      <c r="B42" s="271">
        <v>3708428.8399999756</v>
      </c>
      <c r="C42" s="271">
        <v>1926653.6799999902</v>
      </c>
      <c r="D42" s="271">
        <v>1781775.1599999855</v>
      </c>
      <c r="F42" s="271">
        <v>3640490.9499999825</v>
      </c>
      <c r="G42" s="271">
        <v>1953180.3799999969</v>
      </c>
      <c r="H42" s="271">
        <v>1687310.5699999854</v>
      </c>
      <c r="J42" s="271">
        <v>3561115.8399999766</v>
      </c>
      <c r="K42" s="271">
        <v>2023253.8399999936</v>
      </c>
      <c r="L42" s="271">
        <v>1537861.999999983</v>
      </c>
      <c r="N42" s="271">
        <v>2720533.2299999874</v>
      </c>
      <c r="O42" s="271">
        <v>1494573.8199999956</v>
      </c>
      <c r="P42" s="271">
        <v>1225959.4099999918</v>
      </c>
      <c r="R42" s="320">
        <f t="shared" si="0"/>
        <v>976710.21999999799</v>
      </c>
      <c r="S42" s="275">
        <v>92215.570000000022</v>
      </c>
      <c r="T42" s="275">
        <v>884494.64999999793</v>
      </c>
      <c r="U42" s="155" t="str">
        <f t="shared" si="1"/>
        <v>OK</v>
      </c>
      <c r="V42" t="s">
        <v>353</v>
      </c>
      <c r="W42" s="271">
        <v>92215.570000000022</v>
      </c>
      <c r="X42" s="271">
        <v>884494.64999999793</v>
      </c>
      <c r="Y42" s="271">
        <v>976710.21999999799</v>
      </c>
    </row>
    <row r="43" spans="1:25" x14ac:dyDescent="0.35">
      <c r="A43" s="16" t="s">
        <v>354</v>
      </c>
      <c r="B43" s="271">
        <v>3475398.7499999823</v>
      </c>
      <c r="C43" s="271">
        <v>2055845.5199999914</v>
      </c>
      <c r="D43" s="271">
        <v>1419553.2299999909</v>
      </c>
      <c r="F43" s="271">
        <v>3138883.5499999877</v>
      </c>
      <c r="G43" s="271">
        <v>1913075.8199999982</v>
      </c>
      <c r="H43" s="271">
        <v>1225807.7299999893</v>
      </c>
      <c r="J43" s="271">
        <v>2977705.7699999912</v>
      </c>
      <c r="K43" s="271">
        <v>1830265.2499999979</v>
      </c>
      <c r="L43" s="271">
        <v>1147440.519999993</v>
      </c>
      <c r="N43" s="271">
        <v>2002056.7399999942</v>
      </c>
      <c r="O43" s="271">
        <v>1141654.4099999964</v>
      </c>
      <c r="P43" s="271">
        <v>860402.32999999775</v>
      </c>
      <c r="R43" s="320">
        <f t="shared" si="0"/>
        <v>518046.81</v>
      </c>
      <c r="S43" s="275">
        <v>59025.210000000021</v>
      </c>
      <c r="T43" s="275">
        <v>459021.6</v>
      </c>
      <c r="U43" s="155" t="str">
        <f t="shared" si="1"/>
        <v>OK</v>
      </c>
      <c r="V43" t="s">
        <v>354</v>
      </c>
      <c r="W43" s="271">
        <v>59025.210000000021</v>
      </c>
      <c r="X43" s="271">
        <v>459021.6</v>
      </c>
      <c r="Y43" s="271">
        <v>518046.81</v>
      </c>
    </row>
    <row r="44" spans="1:25" x14ac:dyDescent="0.35">
      <c r="A44" s="16" t="s">
        <v>409</v>
      </c>
      <c r="B44" s="271">
        <v>11041311.00000022</v>
      </c>
      <c r="C44" s="271">
        <v>4896065.600000063</v>
      </c>
      <c r="D44" s="271">
        <v>6145245.4000001559</v>
      </c>
      <c r="F44" s="271">
        <v>10726639.550000206</v>
      </c>
      <c r="G44" s="271">
        <v>4759654.7100000046</v>
      </c>
      <c r="H44" s="271">
        <v>5966984.840000201</v>
      </c>
      <c r="J44" s="271">
        <v>10519229.700000174</v>
      </c>
      <c r="K44" s="271">
        <v>5200133.3600000311</v>
      </c>
      <c r="L44" s="271">
        <v>5319096.3400001442</v>
      </c>
      <c r="N44" s="271">
        <v>9144639.2500000633</v>
      </c>
      <c r="O44" s="271">
        <v>4382109.1899999995</v>
      </c>
      <c r="P44" s="271">
        <v>4762530.0600000648</v>
      </c>
      <c r="R44" s="320">
        <f t="shared" si="0"/>
        <v>4455172.6700000316</v>
      </c>
      <c r="S44" s="275">
        <v>1204185.5699999984</v>
      </c>
      <c r="T44" s="275">
        <v>3250987.1000000327</v>
      </c>
      <c r="U44" s="155" t="str">
        <f t="shared" si="1"/>
        <v>OK</v>
      </c>
      <c r="V44" t="s">
        <v>409</v>
      </c>
      <c r="W44" s="271">
        <v>1204185.5699999984</v>
      </c>
      <c r="X44" s="271">
        <v>3250987.1000000327</v>
      </c>
      <c r="Y44" s="271">
        <v>4455172.6700000316</v>
      </c>
    </row>
    <row r="45" spans="1:25" x14ac:dyDescent="0.35">
      <c r="A45" s="16" t="s">
        <v>28</v>
      </c>
      <c r="B45" s="271">
        <v>76713.919999999998</v>
      </c>
      <c r="C45" s="271">
        <v>39569.029999999984</v>
      </c>
      <c r="D45" s="271">
        <v>37144.890000000014</v>
      </c>
      <c r="F45" s="271">
        <v>80800.849999999977</v>
      </c>
      <c r="G45" s="271">
        <v>45719.439999999973</v>
      </c>
      <c r="H45" s="271">
        <v>35081.410000000003</v>
      </c>
      <c r="J45" s="271">
        <v>87617.269999999975</v>
      </c>
      <c r="K45" s="271">
        <v>56797.239999999976</v>
      </c>
      <c r="L45" s="271">
        <v>30820.03</v>
      </c>
      <c r="N45" s="271">
        <v>79055.789999999979</v>
      </c>
      <c r="O45" s="271">
        <v>50925.709999999977</v>
      </c>
      <c r="P45" s="271">
        <v>28130.080000000002</v>
      </c>
      <c r="R45" s="320">
        <f t="shared" si="0"/>
        <v>19688.349999999999</v>
      </c>
      <c r="S45" s="275">
        <v>979</v>
      </c>
      <c r="T45" s="275">
        <v>18709.349999999999</v>
      </c>
      <c r="U45" s="155" t="str">
        <f t="shared" si="1"/>
        <v>OK</v>
      </c>
      <c r="V45" t="s">
        <v>28</v>
      </c>
      <c r="W45" s="271">
        <v>979</v>
      </c>
      <c r="X45" s="271">
        <v>18709.349999999999</v>
      </c>
      <c r="Y45" s="271">
        <v>19688.349999999999</v>
      </c>
    </row>
    <row r="46" spans="1:25" x14ac:dyDescent="0.35">
      <c r="A46" s="16" t="s">
        <v>29</v>
      </c>
      <c r="B46" s="271">
        <v>45613.220000000008</v>
      </c>
      <c r="C46" s="271">
        <v>22173.460000000003</v>
      </c>
      <c r="D46" s="271">
        <v>23439.760000000006</v>
      </c>
      <c r="F46" s="271">
        <v>79005.429999999993</v>
      </c>
      <c r="G46" s="271">
        <v>51017.090000000004</v>
      </c>
      <c r="H46" s="271">
        <v>27988.339999999997</v>
      </c>
      <c r="J46" s="271">
        <v>67546.549999999988</v>
      </c>
      <c r="K46" s="271">
        <v>47150.549999999996</v>
      </c>
      <c r="L46" s="271">
        <v>20396</v>
      </c>
      <c r="N46" s="271">
        <v>62049.939999999988</v>
      </c>
      <c r="O46" s="271">
        <v>41994.569999999992</v>
      </c>
      <c r="P46" s="271">
        <v>20055.369999999992</v>
      </c>
      <c r="R46" s="320">
        <f t="shared" si="0"/>
        <v>19141.88</v>
      </c>
      <c r="S46" s="275">
        <v>4653.83</v>
      </c>
      <c r="T46" s="275">
        <v>14488.050000000001</v>
      </c>
      <c r="U46" s="155" t="str">
        <f t="shared" si="1"/>
        <v>OK</v>
      </c>
      <c r="V46" t="s">
        <v>29</v>
      </c>
      <c r="W46" s="271">
        <v>4653.83</v>
      </c>
      <c r="X46" s="271">
        <v>14488.050000000001</v>
      </c>
      <c r="Y46" s="271">
        <v>19141.88</v>
      </c>
    </row>
    <row r="47" spans="1:25" x14ac:dyDescent="0.35">
      <c r="A47" s="16" t="s">
        <v>359</v>
      </c>
      <c r="B47" s="271">
        <v>479435.72999999975</v>
      </c>
      <c r="C47" s="271">
        <v>197827.29999999973</v>
      </c>
      <c r="D47" s="271">
        <v>281608.43</v>
      </c>
      <c r="F47" s="271">
        <v>481455.16999999946</v>
      </c>
      <c r="G47" s="271">
        <v>192510.75999999969</v>
      </c>
      <c r="H47" s="271">
        <v>288944.40999999974</v>
      </c>
      <c r="J47" s="271">
        <v>691342.14000000025</v>
      </c>
      <c r="K47" s="271">
        <v>239351.0900000004</v>
      </c>
      <c r="L47" s="271">
        <v>451991.04999999987</v>
      </c>
      <c r="N47" s="271">
        <v>801636.40999999852</v>
      </c>
      <c r="O47" s="271">
        <v>179672.42000000036</v>
      </c>
      <c r="P47" s="271">
        <v>621963.98999999813</v>
      </c>
      <c r="R47" s="320">
        <f t="shared" si="0"/>
        <v>689909.04999999853</v>
      </c>
      <c r="S47" s="275">
        <v>33102.079999999987</v>
      </c>
      <c r="T47" s="275">
        <v>656806.96999999858</v>
      </c>
      <c r="U47" s="155" t="str">
        <f t="shared" si="1"/>
        <v>OK</v>
      </c>
      <c r="V47" t="s">
        <v>359</v>
      </c>
      <c r="W47" s="271">
        <v>33102.079999999987</v>
      </c>
      <c r="X47" s="271">
        <v>656806.96999999858</v>
      </c>
      <c r="Y47" s="271">
        <v>689909.04999999853</v>
      </c>
    </row>
    <row r="48" spans="1:25" x14ac:dyDescent="0.35">
      <c r="A48" s="16" t="s">
        <v>30</v>
      </c>
      <c r="B48" s="271">
        <v>1493744.7599999995</v>
      </c>
      <c r="C48" s="271">
        <v>1127160.6099999992</v>
      </c>
      <c r="D48" s="271">
        <v>366584.15000000043</v>
      </c>
      <c r="F48" s="271">
        <v>2024914.2399999967</v>
      </c>
      <c r="G48" s="271">
        <v>1627167.2999999966</v>
      </c>
      <c r="H48" s="271">
        <v>397746.94000000012</v>
      </c>
      <c r="J48" s="271">
        <v>1864546.1500000046</v>
      </c>
      <c r="K48" s="271">
        <v>1477104.5200000051</v>
      </c>
      <c r="L48" s="271">
        <v>387441.62999999948</v>
      </c>
      <c r="N48" s="271">
        <v>1438013.0599999966</v>
      </c>
      <c r="O48" s="271">
        <v>1156571.6599999962</v>
      </c>
      <c r="P48" s="271">
        <v>281441.40000000031</v>
      </c>
      <c r="R48" s="320">
        <f t="shared" si="0"/>
        <v>150839.43000000002</v>
      </c>
      <c r="S48" s="275">
        <v>-10725.879999999992</v>
      </c>
      <c r="T48" s="275">
        <v>161565.31000000003</v>
      </c>
      <c r="U48" s="155" t="str">
        <f t="shared" si="1"/>
        <v>OK</v>
      </c>
      <c r="V48" t="s">
        <v>30</v>
      </c>
      <c r="W48" s="271">
        <v>-10725.879999999992</v>
      </c>
      <c r="X48" s="271">
        <v>161565.31000000003</v>
      </c>
      <c r="Y48" s="271">
        <v>150839.43000000002</v>
      </c>
    </row>
    <row r="49" spans="1:25" x14ac:dyDescent="0.35">
      <c r="A49" s="16" t="s">
        <v>31</v>
      </c>
      <c r="B49" s="271">
        <v>98798.770000000033</v>
      </c>
      <c r="C49" s="271">
        <v>61389.360000000022</v>
      </c>
      <c r="D49" s="271">
        <v>37409.410000000011</v>
      </c>
      <c r="F49" s="271">
        <v>145664.73999999993</v>
      </c>
      <c r="G49" s="271">
        <v>102535.41999999997</v>
      </c>
      <c r="H49" s="271">
        <v>43129.319999999963</v>
      </c>
      <c r="J49" s="271">
        <v>125712.90999999992</v>
      </c>
      <c r="K49" s="271">
        <v>79312.379999999946</v>
      </c>
      <c r="L49" s="271">
        <v>46400.529999999962</v>
      </c>
      <c r="N49" s="271">
        <v>88875.439999999973</v>
      </c>
      <c r="O49" s="271">
        <v>46171.64999999998</v>
      </c>
      <c r="P49" s="271">
        <v>42703.79</v>
      </c>
      <c r="R49" s="320">
        <f t="shared" si="0"/>
        <v>57001.369999999995</v>
      </c>
      <c r="S49" s="275">
        <v>18737.59</v>
      </c>
      <c r="T49" s="275">
        <v>38263.78</v>
      </c>
      <c r="U49" s="155" t="str">
        <f t="shared" si="1"/>
        <v>OK</v>
      </c>
      <c r="V49" t="s">
        <v>31</v>
      </c>
      <c r="W49" s="271">
        <v>18737.59</v>
      </c>
      <c r="X49" s="271">
        <v>38263.78</v>
      </c>
      <c r="Y49" s="271">
        <v>57001.369999999995</v>
      </c>
    </row>
    <row r="50" spans="1:25" x14ac:dyDescent="0.35">
      <c r="A50" s="16" t="s">
        <v>32</v>
      </c>
      <c r="B50" s="271">
        <v>755760.70000000065</v>
      </c>
      <c r="C50" s="271">
        <v>547801.64000000083</v>
      </c>
      <c r="D50" s="271">
        <v>207959.05999999988</v>
      </c>
      <c r="F50" s="271">
        <v>876436.41999999934</v>
      </c>
      <c r="G50" s="271">
        <v>613664.42999999935</v>
      </c>
      <c r="H50" s="271">
        <v>262771.99</v>
      </c>
      <c r="J50" s="271">
        <v>1174404.1799999971</v>
      </c>
      <c r="K50" s="271">
        <v>816917.67999999761</v>
      </c>
      <c r="L50" s="271">
        <v>357486.49999999953</v>
      </c>
      <c r="N50" s="271">
        <v>721939.54999999946</v>
      </c>
      <c r="O50" s="271">
        <v>491749.74999999971</v>
      </c>
      <c r="P50" s="271">
        <v>230189.79999999976</v>
      </c>
      <c r="R50" s="320">
        <f t="shared" si="0"/>
        <v>129587.30999999997</v>
      </c>
      <c r="S50" s="275">
        <v>1791.9800000000005</v>
      </c>
      <c r="T50" s="275">
        <v>127795.32999999997</v>
      </c>
      <c r="U50" s="155" t="str">
        <f t="shared" si="1"/>
        <v>OK</v>
      </c>
      <c r="V50" t="s">
        <v>32</v>
      </c>
      <c r="W50" s="271">
        <v>1791.9800000000005</v>
      </c>
      <c r="X50" s="271">
        <v>127795.32999999997</v>
      </c>
      <c r="Y50" s="271">
        <v>129587.30999999997</v>
      </c>
    </row>
    <row r="51" spans="1:25" x14ac:dyDescent="0.35">
      <c r="A51" s="16" t="s">
        <v>33</v>
      </c>
      <c r="B51" s="271">
        <v>2355929.4599999925</v>
      </c>
      <c r="C51" s="271">
        <v>1059314.7400000005</v>
      </c>
      <c r="D51" s="271">
        <v>1296614.7199999923</v>
      </c>
      <c r="F51" s="271">
        <v>2297812.3699999927</v>
      </c>
      <c r="G51" s="271">
        <v>1167520.0799999994</v>
      </c>
      <c r="H51" s="271">
        <v>1130292.2899999931</v>
      </c>
      <c r="J51" s="271">
        <v>2481845.0999999954</v>
      </c>
      <c r="K51" s="271">
        <v>1449674.8600000006</v>
      </c>
      <c r="L51" s="271">
        <v>1032170.2399999949</v>
      </c>
      <c r="N51" s="271">
        <v>1686665.9099999939</v>
      </c>
      <c r="O51" s="271">
        <v>949499.79999999842</v>
      </c>
      <c r="P51" s="271">
        <v>737166.10999999545</v>
      </c>
      <c r="R51" s="320">
        <f t="shared" si="0"/>
        <v>430285.22000000009</v>
      </c>
      <c r="S51" s="275">
        <v>18485.93</v>
      </c>
      <c r="T51" s="275">
        <v>411799.2900000001</v>
      </c>
      <c r="U51" s="155" t="str">
        <f t="shared" si="1"/>
        <v>OK</v>
      </c>
      <c r="V51" t="s">
        <v>33</v>
      </c>
      <c r="W51" s="271">
        <v>18485.93</v>
      </c>
      <c r="X51" s="271">
        <v>411799.2900000001</v>
      </c>
      <c r="Y51" s="271">
        <v>430285.22000000009</v>
      </c>
    </row>
    <row r="52" spans="1:25" x14ac:dyDescent="0.35">
      <c r="A52" s="16"/>
      <c r="R52" s="94"/>
      <c r="S52" s="94"/>
      <c r="T52" s="94"/>
    </row>
    <row r="53" spans="1:25" ht="15" thickBot="1" x14ac:dyDescent="0.4">
      <c r="A53" s="25" t="s">
        <v>113</v>
      </c>
      <c r="B53" s="273">
        <v>138105529.32999957</v>
      </c>
      <c r="C53" s="273">
        <v>93197568.069999009</v>
      </c>
      <c r="D53" s="273">
        <v>44907961.260000609</v>
      </c>
      <c r="F53" s="273">
        <v>143436905.92000112</v>
      </c>
      <c r="G53" s="273">
        <v>98336851.93000032</v>
      </c>
      <c r="H53" s="273">
        <v>45100053.990000874</v>
      </c>
      <c r="J53" s="273">
        <v>146872988.92000079</v>
      </c>
      <c r="K53" s="273">
        <v>101268037.68999985</v>
      </c>
      <c r="L53" s="273">
        <v>45604951.230000906</v>
      </c>
      <c r="N53" s="273">
        <v>113432810.10000044</v>
      </c>
      <c r="O53" s="273">
        <v>73080568.059999853</v>
      </c>
      <c r="P53" s="273">
        <v>40352242.040000573</v>
      </c>
      <c r="R53" s="312">
        <f t="shared" ref="R53" si="2">SUM(R6:R51)</f>
        <v>37073587.9200003</v>
      </c>
      <c r="S53" s="312">
        <f t="shared" ref="S53" si="3">SUM(S6:S51)</f>
        <v>7032582.939999993</v>
      </c>
      <c r="T53" s="312">
        <f t="shared" ref="T53" si="4">SUM(T6:T51)</f>
        <v>30041004.980000306</v>
      </c>
      <c r="V53" t="s">
        <v>390</v>
      </c>
      <c r="W53" s="271">
        <v>7032582.939999993</v>
      </c>
      <c r="X53" s="271">
        <v>30041004.980000306</v>
      </c>
      <c r="Y53" s="271">
        <v>37073587.9200003</v>
      </c>
    </row>
    <row r="54" spans="1:25" ht="15" thickTop="1" x14ac:dyDescent="0.35"/>
  </sheetData>
  <sortState ref="A6:T51">
    <sortCondition ref="A6"/>
  </sortState>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96"/>
  <sheetViews>
    <sheetView zoomScaleNormal="100" workbookViewId="0">
      <pane ySplit="3" topLeftCell="A4" activePane="bottomLeft" state="frozen"/>
      <selection pane="bottomLeft" activeCell="A2" sqref="A2:K2"/>
    </sheetView>
  </sheetViews>
  <sheetFormatPr defaultRowHeight="14.5" x14ac:dyDescent="0.35"/>
  <cols>
    <col min="1" max="1" width="40.453125" customWidth="1"/>
    <col min="2" max="11" width="12.26953125" customWidth="1"/>
  </cols>
  <sheetData>
    <row r="1" spans="1:11" ht="18.75" hidden="1" customHeight="1" x14ac:dyDescent="0.45">
      <c r="A1" s="152" t="str">
        <f>'Home Page'!B4</f>
        <v>School of Social Work</v>
      </c>
    </row>
    <row r="2" spans="1:11" ht="23.5" x14ac:dyDescent="0.55000000000000004">
      <c r="A2" s="346" t="str">
        <f>A1&amp;" Scorecard"&amp;" - FY 2017 through FY 2021"</f>
        <v>School of Social Work Scorecard - FY 2017 through FY 2021</v>
      </c>
      <c r="B2" s="346"/>
      <c r="C2" s="346"/>
      <c r="D2" s="346"/>
      <c r="E2" s="346"/>
      <c r="F2" s="346"/>
      <c r="G2" s="346"/>
      <c r="H2" s="346"/>
      <c r="I2" s="346"/>
      <c r="J2" s="346"/>
      <c r="K2" s="346"/>
    </row>
    <row r="3" spans="1:11" ht="4.5" customHeight="1" thickBot="1" x14ac:dyDescent="0.5">
      <c r="A3" s="54"/>
      <c r="B3" s="54"/>
      <c r="C3" s="54"/>
      <c r="D3" s="54"/>
      <c r="E3" s="54"/>
      <c r="F3" s="54"/>
      <c r="G3" s="54"/>
      <c r="H3" s="54"/>
      <c r="I3" s="54"/>
      <c r="J3" s="54"/>
      <c r="K3" s="54"/>
    </row>
    <row r="4" spans="1:11" s="105" customFormat="1" ht="18.5" x14ac:dyDescent="0.45">
      <c r="A4" s="358" t="s">
        <v>195</v>
      </c>
      <c r="B4" s="359"/>
      <c r="C4" s="359"/>
      <c r="D4" s="359"/>
      <c r="E4" s="359"/>
      <c r="F4" s="359"/>
      <c r="G4" s="359"/>
      <c r="H4" s="359"/>
      <c r="I4" s="359"/>
      <c r="J4" s="359"/>
      <c r="K4" s="360"/>
    </row>
    <row r="5" spans="1:11" s="105" customFormat="1" ht="15.5" x14ac:dyDescent="0.35">
      <c r="A5" s="106"/>
      <c r="B5" s="347" t="s">
        <v>44</v>
      </c>
      <c r="C5" s="347"/>
      <c r="D5" s="347" t="s">
        <v>186</v>
      </c>
      <c r="E5" s="347"/>
      <c r="F5" s="347" t="s">
        <v>187</v>
      </c>
      <c r="G5" s="347"/>
      <c r="H5" s="347" t="s">
        <v>385</v>
      </c>
      <c r="I5" s="347"/>
      <c r="J5" s="347" t="s">
        <v>403</v>
      </c>
      <c r="K5" s="354"/>
    </row>
    <row r="6" spans="1:11" s="105" customFormat="1" ht="15.5" x14ac:dyDescent="0.35">
      <c r="A6" s="122" t="s">
        <v>198</v>
      </c>
      <c r="B6" s="132"/>
      <c r="C6" s="112"/>
      <c r="D6" s="132"/>
      <c r="E6" s="112"/>
      <c r="F6" s="132"/>
      <c r="G6" s="112"/>
      <c r="H6" s="130"/>
      <c r="I6" s="112"/>
      <c r="J6" s="130"/>
      <c r="K6" s="113"/>
    </row>
    <row r="7" spans="1:11" s="105" customFormat="1" ht="15.5" x14ac:dyDescent="0.35">
      <c r="A7" s="114" t="s">
        <v>88</v>
      </c>
      <c r="B7" s="348">
        <f>(IF(ISNA(VLOOKUP($A$1,'Retro Pay'!$A$5:$AG$51,2,FALSE))=TRUE,"DEPT not Found",VLOOKUP($A$1,'Retro Pay'!$A$5:$AG$51,2,FALSE)))/1000</f>
        <v>14841.885269999999</v>
      </c>
      <c r="C7" s="349"/>
      <c r="D7" s="348">
        <f>(IF(ISNA(VLOOKUP($A$1,'Retro Pay'!$A$5:$AG$51,8,FALSE))=TRUE,"DEPT not Found",VLOOKUP($A$1,'Retro Pay'!$A$5:$AG$51,8,FALSE)))/1000</f>
        <v>15864.29909</v>
      </c>
      <c r="E7" s="349"/>
      <c r="F7" s="348">
        <f>(IF(ISNA(VLOOKUP($A$1,'Retro Pay'!$A$5:$AG$51,14,FALSE))=TRUE,"DEPT not Found",VLOOKUP($A$1,'Retro Pay'!$A$5:$AG$51,14,FALSE)))/1000</f>
        <v>17961.59648</v>
      </c>
      <c r="G7" s="349"/>
      <c r="H7" s="348">
        <f>(IF(ISNA(VLOOKUP($A$1,'Retro Pay'!$A$5:$AG$51,20,FALSE))=TRUE,"DEPT not Found",VLOOKUP($A$1,'Retro Pay'!$A$5:$AG$51,20,FALSE)))/1000</f>
        <v>18902.57098</v>
      </c>
      <c r="I7" s="349"/>
      <c r="J7" s="350">
        <f>(IF(ISNA(VLOOKUP($A$1,'Retro Pay'!$A$5:$AG$51,26,FALSE))=TRUE,"DEPT not Found",VLOOKUP($A$1,'Retro Pay'!$A$5:$AG$51,26,FALSE)))/1000</f>
        <v>18895.54981</v>
      </c>
      <c r="K7" s="355"/>
    </row>
    <row r="8" spans="1:11" s="105" customFormat="1" ht="15.5" x14ac:dyDescent="0.35">
      <c r="A8" s="114" t="s">
        <v>148</v>
      </c>
      <c r="B8" s="288">
        <f>(IF(ISNA(VLOOKUP($A$1,'Retro Pay'!$A$5:$AG$51,3,FALSE))=TRUE,"DEPT not Found",VLOOKUP($A$1,'Retro Pay'!$A$5:$AG$51,3,FALSE)))/1000</f>
        <v>396.45741999999996</v>
      </c>
      <c r="C8" s="133">
        <f>IF(ISNA(VLOOKUP($A$1,'Retro Pay'!$A$5:$AG$51,4,FALSE))=TRUE,"DEPT not Found",VLOOKUP($A$1,'Retro Pay'!$A$5:$AG$51,4,FALSE))</f>
        <v>2.6712066074339087E-2</v>
      </c>
      <c r="D8" s="290">
        <f>(IF(ISNA(VLOOKUP($A$1,'Retro Pay'!$A$5:$AG$51,9,FALSE))=TRUE,"DEPT not Found",VLOOKUP($A$1,'Retro Pay'!$A$5:$AG$51,9,FALSE)))/1000</f>
        <v>337.62459000000001</v>
      </c>
      <c r="E8" s="133">
        <f>IF(ISNA(VLOOKUP($A$1,'Retro Pay'!$A$5:$AG$51,10,FALSE))=TRUE,"DEPT not Found",VLOOKUP($A$1,'Retro Pay'!$A$5:$AG$51,10,FALSE))</f>
        <v>2.1282036356262371E-2</v>
      </c>
      <c r="F8" s="290">
        <f>(IF(ISNA(VLOOKUP($A$1,'Retro Pay'!$A$5:$AG$51,15,FALSE))=TRUE,"DEPT not Found",VLOOKUP($A$1,'Retro Pay'!$A$5:$AG$51,15,FALSE)))/1000</f>
        <v>586.47232999999983</v>
      </c>
      <c r="G8" s="133">
        <f>IF(ISNA(VLOOKUP($A$1,'Retro Pay'!$A$5:$AG$51,16,FALSE))=TRUE,"DEPT not Found",VLOOKUP($A$1,'Retro Pay'!$A$5:$AG$51,16,FALSE))</f>
        <v>3.265145894202829E-2</v>
      </c>
      <c r="H8" s="290">
        <f>(IF(ISNA(VLOOKUP($A$1,'Retro Pay'!$A$5:$AG$51,21,FALSE))=TRUE,"DEPT not Found",VLOOKUP($A$1,'Retro Pay'!$A$5:$AG$51,21,FALSE)))/1000</f>
        <v>976.39688999999896</v>
      </c>
      <c r="I8" s="133">
        <f>IF(ISNA(VLOOKUP($A$1,'Retro Pay'!$A$5:$AG$51,22,FALSE))=TRUE,"DEPT not Found",VLOOKUP($A$1,'Retro Pay'!$A$5:$AG$51,22,FALSE))</f>
        <v>5.1654184556856456E-2</v>
      </c>
      <c r="J8" s="290">
        <f>(IF(ISNA(VLOOKUP($A$1,'Retro Pay'!$A$5:$AG$51,27,FALSE))=TRUE,"DEPT not Found",VLOOKUP($A$1,'Retro Pay'!$A$5:$AG$51,27,FALSE)))/1000</f>
        <v>1313.5262</v>
      </c>
      <c r="K8" s="134">
        <f>IF(ISNA(VLOOKUP($A$1,'Retro Pay'!$A$5:$AG$51,28,FALSE))=TRUE,"DEPT not Found",VLOOKUP($A$1,'Retro Pay'!$A$5:$AG$51,28,FALSE))</f>
        <v>6.9515108753535657E-2</v>
      </c>
    </row>
    <row r="9" spans="1:11" s="105" customFormat="1" ht="15.5" x14ac:dyDescent="0.35">
      <c r="A9" s="114" t="s">
        <v>150</v>
      </c>
      <c r="B9" s="288">
        <f>(IF(ISNA(VLOOKUP($A$1,'Retro Pay'!$A$5:$AD$51,5,FALSE))=TRUE,"DEPT not Found",VLOOKUP($A$1,'Retro Pay'!$A$5:$AD$51,5,FALSE))/1000)</f>
        <v>37.880470000000003</v>
      </c>
      <c r="C9" s="115">
        <f>IF(ISNA(VLOOKUP($A$1,'Retro Pay'!$A$5:$AD$51,6,FALSE))=TRUE,"DEPT not Found",VLOOKUP($A$1,'Retro Pay'!$A$5:$AD$51,6,FALSE))</f>
        <v>2.8007328450958954E-3</v>
      </c>
      <c r="D9" s="290">
        <f>(IF(ISNA(VLOOKUP($A$1,'Retro Pay'!$A$5:$AD$51,11,FALSE))=TRUE,"DEPT not Found",VLOOKUP($A$1,'Retro Pay'!$A$5:$AD$51,11,FALSE))/1000)</f>
        <v>18.208539999999999</v>
      </c>
      <c r="E9" s="115">
        <f>IF(ISNA(VLOOKUP($A$1,'Retro Pay'!$A$5:$AD$51,12,FALSE))=TRUE,"DEPT not Found",VLOOKUP($A$1,'Retro Pay'!$A$5:$AD$51,12,FALSE))</f>
        <v>1.1477683253890293E-3</v>
      </c>
      <c r="F9" s="290">
        <f>(IF(ISNA(VLOOKUP($A$1,'Retro Pay'!$A$5:$AD$51,17,FALSE))=TRUE,"DEPT not Found",VLOOKUP($A$1,'Retro Pay'!$A$5:$AD$51,17,FALSE))/1000)</f>
        <v>68.542260000000013</v>
      </c>
      <c r="G9" s="115">
        <f>IF(ISNA(VLOOKUP($A$1,'Retro Pay'!$A$5:$AD$51,30,FALSE))=TRUE,"DEPT not Found",VLOOKUP($A$1,'Retro Pay'!$A$5:$AD$51,30,FALSE))</f>
        <v>1.994448025008275E-2</v>
      </c>
      <c r="H9" s="290">
        <f>(IF(ISNA(VLOOKUP($A$1,'Retro Pay'!$A$5:$AD$51,23,FALSE))=TRUE,"DEPT not Found",VLOOKUP($A$1,'Retro Pay'!$A$5:$AD$51,23,FALSE))/1000)</f>
        <v>317.31985000000009</v>
      </c>
      <c r="I9" s="115">
        <f>IF(ISNA(VLOOKUP($A$1,'Retro Pay'!$A$5:$AD$51,24,FALSE))=TRUE,"DEPT not Found",VLOOKUP($A$1,'Retro Pay'!$A$5:$AD$51,24,FALSE))</f>
        <v>1.6787126488547119E-2</v>
      </c>
      <c r="J9" s="290">
        <f>(IF(ISNA(VLOOKUP($A$1,'Retro Pay'!$A$5:$AD$51,29,FALSE))=TRUE,"DEPT not Found",VLOOKUP($A$1,'Retro Pay'!$A$5:$AD$51,29,FALSE))/1000)</f>
        <v>376.86191999999983</v>
      </c>
      <c r="K9" s="116">
        <f>IF(ISNA(VLOOKUP($A$1,'Retro Pay'!$A$5:$AD$51,30,FALSE))=TRUE,"DEPT not Found",VLOOKUP($A$1,'Retro Pay'!$A$5:$AD$51,30,FALSE))</f>
        <v>1.994448025008275E-2</v>
      </c>
    </row>
    <row r="10" spans="1:11" s="105" customFormat="1" ht="7.15" customHeight="1" x14ac:dyDescent="0.35">
      <c r="A10" s="135"/>
      <c r="B10" s="132"/>
      <c r="C10" s="112"/>
      <c r="D10" s="132"/>
      <c r="E10" s="112"/>
      <c r="F10" s="132"/>
      <c r="G10" s="112"/>
      <c r="H10" s="130"/>
      <c r="I10" s="112"/>
      <c r="J10" s="130"/>
      <c r="K10" s="113"/>
    </row>
    <row r="11" spans="1:11" s="105" customFormat="1" ht="15.5" x14ac:dyDescent="0.35">
      <c r="A11" s="122" t="s">
        <v>124</v>
      </c>
      <c r="B11" s="132"/>
      <c r="C11" s="112"/>
      <c r="D11" s="132"/>
      <c r="E11" s="112"/>
      <c r="F11" s="132"/>
      <c r="G11" s="112"/>
      <c r="H11" s="130"/>
      <c r="I11" s="112"/>
      <c r="J11" s="130"/>
      <c r="K11" s="113"/>
    </row>
    <row r="12" spans="1:11" s="105" customFormat="1" ht="18.75" customHeight="1" x14ac:dyDescent="0.35">
      <c r="A12" s="114" t="s">
        <v>88</v>
      </c>
      <c r="B12" s="348">
        <f>(IF(ISNA(VLOOKUP($A$1,'SP Retro Pay'!$A$5:$AD$51,2,FALSE))=TRUE,"DEPT not Found",VLOOKUP($A$1,'SP Retro Pay'!$A$5:$AD$51,2,FALSE))/1000)</f>
        <v>1745.7907099999975</v>
      </c>
      <c r="C12" s="349"/>
      <c r="D12" s="348">
        <f>(IF(ISNA(VLOOKUP($A$1,'SP Retro Pay'!$A$5:$AD$51,8,FALSE))=TRUE,"DEPT not Found",VLOOKUP($A$1,'SP Retro Pay'!$A$5:$AD$51,8,FALSE))/1000)</f>
        <v>1967.8402399999986</v>
      </c>
      <c r="E12" s="349"/>
      <c r="F12" s="348">
        <f>(IF(ISNA(VLOOKUP($A$1,'SP Retro Pay'!$A$5:$AD$51,14,FALSE))=TRUE,"DEPT not Found",VLOOKUP($A$1,'SP Retro Pay'!$A$5:$AD$51,14,FALSE))/1000)</f>
        <v>1908.6789900000001</v>
      </c>
      <c r="G12" s="349"/>
      <c r="H12" s="350">
        <f>(IF(ISNA(VLOOKUP($A$1,'SP Retro Pay'!$A$5:$AD$51,20,FALSE))=TRUE,"DEPT not Found",VLOOKUP($A$1,'SP Retro Pay'!$A$5:$AD$51,20,FALSE))/1000)</f>
        <v>1980.4573399999929</v>
      </c>
      <c r="I12" s="349"/>
      <c r="J12" s="350">
        <f>(IF(ISNA(VLOOKUP($A$1,'SP Retro Pay'!$A$5:$AD$51,26,FALSE))=TRUE,"DEPT not Found",VLOOKUP($A$1,'SP Retro Pay'!$A$5:$AD$51,26,FALSE))/1000)</f>
        <v>1934.8244400000003</v>
      </c>
      <c r="K12" s="355"/>
    </row>
    <row r="13" spans="1:11" s="105" customFormat="1" ht="15.5" x14ac:dyDescent="0.35">
      <c r="A13" s="114" t="s">
        <v>148</v>
      </c>
      <c r="B13" s="288">
        <f>(IF(ISNA(VLOOKUP($A$1,'SP Retro Pay'!$A$5:$AD$51,3,FALSE))=TRUE,"DEPT not Found",VLOOKUP($A$1,'SP Retro Pay'!$A$5:$AD$51,3,FALSE))/1000)</f>
        <v>227.49660999999998</v>
      </c>
      <c r="C13" s="133">
        <f>IF(ISNA(VLOOKUP($A$1,'SP Retro Pay'!$A$5:$AD$51,4,FALSE))=TRUE,"DEPT not Found",VLOOKUP($A$1,'SP Retro Pay'!$A$5:$AD$51,4,FALSE))</f>
        <v>0.1303115022304136</v>
      </c>
      <c r="D13" s="288">
        <f>(IF(ISNA(VLOOKUP($A$1,'SP Retro Pay'!$A$5:$AD$51,9,FALSE))=TRUE,"DEPT not Found",VLOOKUP($A$1,'SP Retro Pay'!$A$5:$AD$51,9,FALSE))/1000)</f>
        <v>164.87246000000002</v>
      </c>
      <c r="E13" s="133">
        <f>IF(ISNA(VLOOKUP($A$1,'SP Retro Pay'!$A$5:$AD$51,10,FALSE))=TRUE,"DEPT not Found",VLOOKUP($A$1,'SP Retro Pay'!$A$5:$AD$51,10,FALSE))</f>
        <v>8.3783457949818188E-2</v>
      </c>
      <c r="F13" s="288">
        <f>(IF(ISNA(VLOOKUP($A$1,'SP Retro Pay'!$A$5:$AD$51,15,FALSE))=TRUE,"DEPT not Found",VLOOKUP($A$1,'SP Retro Pay'!$A$5:$AD$51,15,FALSE))/1000)</f>
        <v>151.78335000000004</v>
      </c>
      <c r="G13" s="133">
        <f>IF(ISNA(VLOOKUP($A$1,'SP Retro Pay'!$A$5:$AD$51,16,FALSE))=TRUE,"DEPT not Found",VLOOKUP($A$1,'SP Retro Pay'!$A$5:$AD$51,16,FALSE))</f>
        <v>7.7131947459312108E-2</v>
      </c>
      <c r="H13" s="288">
        <f>(IF(ISNA(VLOOKUP($A$1,'SP Retro Pay'!$A$5:$AD$51,21,FALSE))=TRUE,"DEPT not Found",VLOOKUP($A$1,'SP Retro Pay'!$A$5:$AD$51,21,FALSE))/1000)</f>
        <v>596.68530999999984</v>
      </c>
      <c r="I13" s="133">
        <f>IF(ISNA(VLOOKUP($A$1,'SP Retro Pay'!$A$5:$AD$51,22,FALSE))=TRUE,"DEPT not Found",VLOOKUP($A$1,'SP Retro Pay'!$A$5:$AD$51,22,FALSE))</f>
        <v>0.30128662604769968</v>
      </c>
      <c r="J13" s="290">
        <f>(IF(ISNA(VLOOKUP($A$1,'SP Retro Pay'!$A$5:$AD$51,27,FALSE))=TRUE,"DEPT not Found",VLOOKUP($A$1,'SP Retro Pay'!$A$5:$AD$51,27,FALSE))/1000)</f>
        <v>607.83155000000056</v>
      </c>
      <c r="K13" s="134">
        <f>IF(ISNA(VLOOKUP($A$1,'SP Retro Pay'!$A$5:$AD$51,28,FALSE))=TRUE,"DEPT not Found",VLOOKUP($A$1,'SP Retro Pay'!$A$5:$AD$51,28,FALSE))</f>
        <v>0.31415333475940604</v>
      </c>
    </row>
    <row r="14" spans="1:11" s="105" customFormat="1" ht="15.5" x14ac:dyDescent="0.35">
      <c r="A14" s="114" t="s">
        <v>149</v>
      </c>
      <c r="B14" s="288">
        <f>(IF(ISNA(VLOOKUP($A$1,'SP Retro Pay'!$A$5:$AD$51,5,FALSE))=TRUE,"DEPT not Found",VLOOKUP($A$1,'SP Retro Pay'!$A$5:$AD$51,5,FALSE))/1000)</f>
        <v>47.624589999999998</v>
      </c>
      <c r="C14" s="133">
        <f>IF(ISNA(VLOOKUP($A$1,'SP Retro Pay'!$A$5:$AD$51,6,FALSE))=TRUE,"DEPT not Found",VLOOKUP($A$1,'SP Retro Pay'!$A$5:$AD$51,6,FALSE))</f>
        <v>2.727966744650627E-2</v>
      </c>
      <c r="D14" s="288">
        <f>(IF(ISNA(VLOOKUP($A$1,'SP Retro Pay'!$A$5:$AD$51,11,FALSE))=TRUE,"DEPT not Found",VLOOKUP($A$1,'SP Retro Pay'!$A$5:$AD$51,11,FALSE))/1000)</f>
        <v>31.173090000000006</v>
      </c>
      <c r="E14" s="133">
        <f>IF(ISNA(VLOOKUP($A$1,'SP Retro Pay'!$A$5:$AD$51,12,FALSE))=TRUE,"DEPT not Found",VLOOKUP($A$1,'SP Retro Pay'!$A$5:$AD$51,12,FALSE))</f>
        <v>1.5841270732424917E-2</v>
      </c>
      <c r="F14" s="288">
        <f>(IF(ISNA(VLOOKUP($A$1,'SP Retro Pay'!$A$5:$AD$51,17,FALSE))=TRUE,"DEPT not Found",VLOOKUP($A$1,'SP Retro Pay'!$A$5:$AD$51,17,FALSE))/1000)</f>
        <v>9.8327999999999989</v>
      </c>
      <c r="G14" s="133">
        <f>IF(ISNA(VLOOKUP($A$1,'SP Retro Pay'!$A$5:$AD$51,18,FALSE))=TRUE,"DEPT not Found",VLOOKUP($A$1,'SP Retro Pay'!$A$5:$AD$51,18,FALSE))</f>
        <v>4.9967470936563459E-3</v>
      </c>
      <c r="H14" s="288">
        <f>(IF(ISNA(VLOOKUP($A$1,'SP Retro Pay'!$A$5:$AD$51,23,FALSE))=TRUE,"DEPT not Found",VLOOKUP($A$1,'SP Retro Pay'!$A$5:$AD$51,23,FALSE))/1000)</f>
        <v>57.940789999999986</v>
      </c>
      <c r="I14" s="133">
        <f>IF(ISNA(VLOOKUP($A$1,'SP Retro Pay'!$A$5:$AD$51,24,FALSE))=TRUE,"DEPT not Found",VLOOKUP($A$1,'SP Retro Pay'!$A$5:$AD$51,24,FALSE))</f>
        <v>2.9256267645734899E-2</v>
      </c>
      <c r="J14" s="290">
        <f>(IF(ISNA(VLOOKUP($A$1,'SP Retro Pay'!$A$5:$AD$51,29,FALSE))=TRUE,"DEPT not Found",VLOOKUP($A$1,'SP Retro Pay'!$A$5:$AD$51,29,FALSE))/1000)</f>
        <v>86.258769999999984</v>
      </c>
      <c r="K14" s="134">
        <f>IF(ISNA(VLOOKUP($A$1,'SP Retro Pay'!$A$5:$AD$51,30,FALSE))=TRUE,"DEPT not Found",VLOOKUP($A$1,'SP Retro Pay'!$A$5:$AD$51,30,FALSE))</f>
        <v>4.4582220596717279E-2</v>
      </c>
    </row>
    <row r="15" spans="1:11" s="105" customFormat="1" ht="7.15" customHeight="1" x14ac:dyDescent="0.35">
      <c r="A15" s="135"/>
      <c r="B15" s="132"/>
      <c r="C15" s="112"/>
      <c r="D15" s="132"/>
      <c r="E15" s="112"/>
      <c r="F15" s="132"/>
      <c r="G15" s="112"/>
      <c r="H15" s="130"/>
      <c r="I15" s="112"/>
      <c r="J15" s="130"/>
      <c r="K15" s="113"/>
    </row>
    <row r="16" spans="1:11" s="105" customFormat="1" ht="15.5" x14ac:dyDescent="0.35">
      <c r="A16" s="122" t="s">
        <v>91</v>
      </c>
      <c r="B16" s="288"/>
      <c r="C16" s="133"/>
      <c r="D16" s="288"/>
      <c r="E16" s="133"/>
      <c r="F16" s="288"/>
      <c r="G16" s="133"/>
      <c r="H16" s="288"/>
      <c r="I16" s="133"/>
      <c r="J16" s="290"/>
      <c r="K16" s="134"/>
    </row>
    <row r="17" spans="1:11" s="105" customFormat="1" ht="15.5" x14ac:dyDescent="0.35">
      <c r="A17" s="151" t="s">
        <v>170</v>
      </c>
      <c r="B17" s="138">
        <f>IF(ISNA(VLOOKUP($A$1,'Effort Cert'!$A$5:$P$51,2,FALSE))=TRUE,"DEPT not Found",VLOOKUP($A$1,'Effort Cert'!$A$5:$P$51,2,FALSE))</f>
        <v>79</v>
      </c>
      <c r="C17" s="133"/>
      <c r="D17" s="138">
        <f>IF(ISNA(VLOOKUP($A$1,'Effort Cert'!$A$5:$P$51,5,FALSE))=TRUE,"DEPT not Found",VLOOKUP($A$1,'Effort Cert'!$A$5:$P$51,5,FALSE))</f>
        <v>78</v>
      </c>
      <c r="E17" s="133"/>
      <c r="F17" s="138">
        <f>IF(ISNA(VLOOKUP($A$1,'Effort Cert'!$A$5:$P$51,8,FALSE))=TRUE,"DEPT not Found",VLOOKUP($A$1,'Effort Cert'!$A$5:$P$51,8,FALSE))</f>
        <v>50</v>
      </c>
      <c r="G17" s="133"/>
      <c r="H17" s="138">
        <f>IF(ISNA(VLOOKUP($A$1,'Effort Cert'!$A$5:$P$51,11,FALSE))=TRUE,"DEPT not Found",VLOOKUP($A$1,'Effort Cert'!$A$5:$P$51,11,FALSE))</f>
        <v>63</v>
      </c>
      <c r="I17" s="133"/>
      <c r="J17" s="138">
        <f>IF(ISNA(VLOOKUP($A$1,'Effort Cert'!$A$5:$P$51,14,FALSE))=TRUE,"DEPT not Found",VLOOKUP($A$1,'Effort Cert'!$A$5:$P$51,14,FALSE))</f>
        <v>60</v>
      </c>
      <c r="K17" s="134"/>
    </row>
    <row r="18" spans="1:11" s="105" customFormat="1" ht="15.5" x14ac:dyDescent="0.35">
      <c r="A18" s="114" t="s">
        <v>171</v>
      </c>
      <c r="B18" s="138">
        <f>IF(ISNA(VLOOKUP($A$1,'Effort Cert'!$A$5:$P$51,3,FALSE))=TRUE,"DEPT not Found",VLOOKUP($A$1,'Effort Cert'!$A$5:$P$51,3,FALSE))</f>
        <v>79</v>
      </c>
      <c r="C18" s="133">
        <f>IF(ISNA(VLOOKUP($A$1,'Effort Cert'!$A$5:$P$51,4,FALSE))=TRUE,"DEPT not Found",VLOOKUP($A$1,'Effort Cert'!$A$5:$P$51,4,FALSE))</f>
        <v>1</v>
      </c>
      <c r="D18" s="138">
        <f>IF(ISNA(VLOOKUP($A$1,'Effort Cert'!$A$5:$P$51,6,FALSE))=TRUE,"DEPT not Found",VLOOKUP($A$1,'Effort Cert'!$A$5:$P$51,6,FALSE))</f>
        <v>77</v>
      </c>
      <c r="E18" s="133">
        <f>IF(ISNA(VLOOKUP($A$1,'Effort Cert'!$A$5:$P$51,7,FALSE))=TRUE,"DEPT not Found",VLOOKUP($A$1,'Effort Cert'!$A$5:$P$51,7,FALSE))</f>
        <v>0.98717948717948723</v>
      </c>
      <c r="F18" s="138">
        <f>IF(ISNA(VLOOKUP($A$1,'Effort Cert'!$A$5:$P$51,9,FALSE))=TRUE,"DEPT not Found",VLOOKUP($A$1,'Effort Cert'!$A$5:$P$51,9,FALSE))</f>
        <v>50</v>
      </c>
      <c r="G18" s="133">
        <f>IF(ISNA(VLOOKUP($A$1,'Effort Cert'!$A$5:$P$51,10,FALSE))=TRUE,"DEPT not Found",VLOOKUP($A$1,'Effort Cert'!$A$5:$P$51,10,FALSE))</f>
        <v>1</v>
      </c>
      <c r="H18" s="138">
        <f>IF(ISNA(VLOOKUP($A$1,'Effort Cert'!$A$5:$P$51,12,FALSE))=TRUE,"DEPT not Found",VLOOKUP($A$1,'Effort Cert'!$A$5:$P$51,12,FALSE))</f>
        <v>55</v>
      </c>
      <c r="I18" s="133">
        <f>IF(ISNA(VLOOKUP($A$1,'Effort Cert'!$A$5:$P$51,13,FALSE))=TRUE,"DEPT not Found",VLOOKUP($A$1,'Effort Cert'!$A$5:$P$51,13,FALSE))</f>
        <v>0.87301587301587302</v>
      </c>
      <c r="J18" s="138">
        <f>IF(ISNA(VLOOKUP($A$1,'Effort Cert'!$A$5:$P$51,15,FALSE))=TRUE,"DEPT not Found",VLOOKUP($A$1,'Effort Cert'!$A$5:$P$51,15,FALSE))</f>
        <v>57</v>
      </c>
      <c r="K18" s="134">
        <f>IF(ISNA(VLOOKUP($A$1,'Effort Cert'!$A$5:$P$51,16,FALSE))=TRUE,"DEPT not Found",VLOOKUP($A$1,'Effort Cert'!$A$5:$P$51,16,FALSE))</f>
        <v>0.95</v>
      </c>
    </row>
    <row r="19" spans="1:11" s="105" customFormat="1" ht="7.15" customHeight="1" thickBot="1" x14ac:dyDescent="0.4">
      <c r="A19" s="126"/>
      <c r="B19" s="127"/>
      <c r="C19" s="127"/>
      <c r="D19" s="127"/>
      <c r="E19" s="127"/>
      <c r="F19" s="127"/>
      <c r="G19" s="127"/>
      <c r="H19" s="127"/>
      <c r="I19" s="127"/>
      <c r="J19" s="127"/>
      <c r="K19" s="128"/>
    </row>
    <row r="20" spans="1:11" s="105" customFormat="1" ht="16" thickBot="1" x14ac:dyDescent="0.4"/>
    <row r="21" spans="1:11" s="105" customFormat="1" ht="18.5" x14ac:dyDescent="0.45">
      <c r="A21" s="361" t="s">
        <v>192</v>
      </c>
      <c r="B21" s="362"/>
      <c r="C21" s="362"/>
      <c r="D21" s="362"/>
      <c r="E21" s="362"/>
      <c r="F21" s="362"/>
      <c r="G21" s="362"/>
      <c r="H21" s="362"/>
      <c r="I21" s="362"/>
      <c r="J21" s="362"/>
      <c r="K21" s="363"/>
    </row>
    <row r="22" spans="1:11" s="105" customFormat="1" ht="15.5" x14ac:dyDescent="0.35">
      <c r="A22" s="106"/>
      <c r="B22" s="347" t="str">
        <f>B5</f>
        <v>FY 2017</v>
      </c>
      <c r="C22" s="347"/>
      <c r="D22" s="347" t="str">
        <f>D5</f>
        <v>FY 2018</v>
      </c>
      <c r="E22" s="347"/>
      <c r="F22" s="347" t="str">
        <f>F5</f>
        <v>FY 2019</v>
      </c>
      <c r="G22" s="347"/>
      <c r="H22" s="347" t="str">
        <f>H5</f>
        <v>FY 2020</v>
      </c>
      <c r="I22" s="347"/>
      <c r="J22" s="347" t="str">
        <f>J5</f>
        <v>FY 2021</v>
      </c>
      <c r="K22" s="354"/>
    </row>
    <row r="23" spans="1:11" s="105" customFormat="1" ht="15" customHeight="1" x14ac:dyDescent="0.35">
      <c r="A23" s="136" t="s">
        <v>190</v>
      </c>
      <c r="B23" s="132"/>
      <c r="C23" s="112"/>
      <c r="D23" s="132"/>
      <c r="E23" s="112"/>
      <c r="F23" s="132"/>
      <c r="G23" s="112"/>
      <c r="H23" s="132"/>
      <c r="I23" s="112"/>
      <c r="J23" s="130"/>
      <c r="K23" s="113"/>
    </row>
    <row r="24" spans="1:11" s="105" customFormat="1" ht="15.5" x14ac:dyDescent="0.35">
      <c r="A24" s="114" t="s">
        <v>401</v>
      </c>
      <c r="B24" s="138">
        <f>IF(ISNA(VLOOKUP($A$1,'Cash Handling'!$A$5:$BE$51,2,FALSE))=TRUE,"DEPT not Found",VLOOKUP($A$1,'Cash Handling'!$A$5:$BE$51,2,FALSE))</f>
        <v>4</v>
      </c>
      <c r="C24" s="137"/>
      <c r="D24" s="111">
        <f>IF(ISNA(VLOOKUP($A$1,'Cash Handling'!$A$5:$BE$51,9,FALSE))=TRUE,"DEPT not Found",VLOOKUP($A$1,'Cash Handling'!$A$5:$BE$51,9,FALSE))</f>
        <v>3</v>
      </c>
      <c r="E24" s="137"/>
      <c r="F24" s="111">
        <f>IF(ISNA(VLOOKUP($A$1,'Cash Handling'!$A$5:$BE$51,16,FALSE))=TRUE,"DEPT not Found",VLOOKUP($A$1,'Cash Handling'!$A$5:$BE$51,16,FALSE))</f>
        <v>2</v>
      </c>
      <c r="G24" s="137"/>
      <c r="H24" s="138">
        <f>IF(ISNA(VLOOKUP($A$1,'Cash Handling'!$A$5:$BE$51,23,FALSE))=TRUE,"DEPT not Found",VLOOKUP($A$1,'Cash Handling'!$A$5:$BE$51,23,FALSE))</f>
        <v>2</v>
      </c>
      <c r="I24" s="137"/>
      <c r="J24" s="111">
        <f>IF(ISNA(VLOOKUP($A$1,'Cash Handling'!$A$5:$BE$51,30,FALSE))=TRUE,"DEPT not Found",VLOOKUP($A$1,'Cash Handling'!$A$5:$BE$51,30,FALSE))</f>
        <v>2</v>
      </c>
      <c r="K24" s="139"/>
    </row>
    <row r="25" spans="1:11" s="105" customFormat="1" ht="15.5" x14ac:dyDescent="0.35">
      <c r="A25" s="114" t="s">
        <v>49</v>
      </c>
      <c r="B25" s="138">
        <f>IF(ISNA(VLOOKUP($A$1,'Cash Handling'!$A$5:$BE$51,3,FALSE))=TRUE,"DEPT not Found",VLOOKUP($A$1,'Cash Handling'!$A$5:$BE$51,3,FALSE))</f>
        <v>74</v>
      </c>
      <c r="C25" s="289">
        <f>(IF(ISNA(VLOOKUP($A$1,'Cash Handling'!$A$5:$BE$51,4,FALSE))=TRUE,"DEPT not Found",VLOOKUP($A$1,'Cash Handling'!$A$5:$BE$51,4,FALSE)))/1000</f>
        <v>134.84917999999999</v>
      </c>
      <c r="D25" s="111">
        <f>IF(ISNA(VLOOKUP($A$1,'Cash Handling'!$A$5:$BE$51,10,FALSE))=TRUE,"DEPT not Found",VLOOKUP($A$1,'Cash Handling'!$A$5:$BE$51,10,FALSE))</f>
        <v>70</v>
      </c>
      <c r="E25" s="289">
        <f>(IF(ISNA(VLOOKUP($A$1,'Cash Handling'!$A$5:$BE$51,11,FALSE))=TRUE,"DEPT not Found",VLOOKUP($A$1,'Cash Handling'!$A$5:$BE$51,11,FALSE)))/1000</f>
        <v>193.63813000000002</v>
      </c>
      <c r="F25" s="111">
        <f>IF(ISNA(VLOOKUP($A$1,'Cash Handling'!$A$5:$BE$51,17,FALSE))=TRUE,"DEPT not Found",VLOOKUP($A$1,'Cash Handling'!$A$5:$BE$51,17,FALSE))</f>
        <v>79</v>
      </c>
      <c r="G25" s="289">
        <f>(IF(ISNA(VLOOKUP($A$1,'Cash Handling'!$A$5:$BE$51,18,FALSE))=TRUE,"DEPT not Found",VLOOKUP($A$1,'Cash Handling'!$A$5:$BE$51,18,FALSE)))/1000</f>
        <v>303.29376999999999</v>
      </c>
      <c r="H25" s="138">
        <f>IF(ISNA(VLOOKUP($A$1,'Cash Handling'!$A$5:$BE$51,24,FALSE))=TRUE,"DEPT not Found",VLOOKUP($A$1,'Cash Handling'!$A$5:$BE$51,24,FALSE))</f>
        <v>58</v>
      </c>
      <c r="I25" s="289">
        <f>(IF(ISNA(VLOOKUP($A$1,'Cash Handling'!$A$5:$BE$51,25,FALSE))=TRUE,"DEPT not Found",VLOOKUP($A$1,'Cash Handling'!$A$5:$BE$51,25,FALSE)))/1000</f>
        <v>132.65812</v>
      </c>
      <c r="J25" s="111">
        <f>IF(ISNA(VLOOKUP($A$1,'Cash Handling'!$A$5:$BE$51,31,FALSE))=TRUE,"DEPT not Found",VLOOKUP($A$1,'Cash Handling'!$A$5:$BE$51,31,FALSE))</f>
        <v>21</v>
      </c>
      <c r="K25" s="293">
        <f>(IF(ISNA(VLOOKUP($A$1,'Cash Handling'!$A$5:$BE$51,32,FALSE))=TRUE,"DEPT not Found",VLOOKUP($A$1,'Cash Handling'!$A$5:$BE$51,32,FALSE)))/1000</f>
        <v>109.98751000000001</v>
      </c>
    </row>
    <row r="26" spans="1:11" s="105" customFormat="1" ht="15.75" customHeight="1" x14ac:dyDescent="0.35">
      <c r="A26" s="114" t="s">
        <v>156</v>
      </c>
      <c r="B26" s="138">
        <f>IF(ISNA(VLOOKUP($A$1,'Cash Handling'!$A$5:$BE$51,5,FALSE))=TRUE,"DEPT not Found",VLOOKUP($A$1,'Cash Handling'!$A$5:$BE$51,5,FALSE))</f>
        <v>5</v>
      </c>
      <c r="C26" s="140"/>
      <c r="D26" s="138">
        <f>IF(ISNA(VLOOKUP($A$1,'Cash Handling'!$A$5:$BE$51,12,FALSE))=TRUE,"DEPT not Found",VLOOKUP($A$1,'Cash Handling'!$A$5:$BE$51,12,FALSE))</f>
        <v>7</v>
      </c>
      <c r="E26" s="137"/>
      <c r="F26" s="138">
        <f>IF(ISNA(VLOOKUP($A$1,'Cash Handling'!$A$5:$BE$51,19,FALSE))=TRUE,"DEPT not Found",VLOOKUP($A$1,'Cash Handling'!$A$5:$BE$51,19,FALSE))</f>
        <v>5</v>
      </c>
      <c r="G26" s="137"/>
      <c r="H26" s="138">
        <f>IF(ISNA(VLOOKUP($A$1,'Cash Handling'!$A$5:$AI$51,26,FALSE))=TRUE,"DEPT not Found",VLOOKUP($A$1,'Cash Handling'!$A$5:$AI$51,26,FALSE))</f>
        <v>3</v>
      </c>
      <c r="I26" s="137"/>
      <c r="J26" s="111">
        <f>IF(ISNA(VLOOKUP($A$1,'Cash Handling'!$A$5:$AI$51,33,FALSE))=TRUE,"DEPT not Found",VLOOKUP($A$1,'Cash Handling'!$A$5:$AI$51,33,FALSE))</f>
        <v>3</v>
      </c>
      <c r="K26" s="139"/>
    </row>
    <row r="27" spans="1:11" s="105" customFormat="1" ht="15.5" x14ac:dyDescent="0.35">
      <c r="A27" s="114" t="s">
        <v>92</v>
      </c>
      <c r="B27" s="138">
        <f>IF(ISNA(VLOOKUP($A$1,'Cash Handling'!$A$5:$BE$51,6,FALSE))=TRUE,"DEPT not Found",VLOOKUP($A$1,'Cash Handling'!$A$5:$BE$51,6,FALSE))</f>
        <v>5</v>
      </c>
      <c r="C27" s="115">
        <f>IF(ISNA(VLOOKUP($A$1,'Cash Handling'!$A$5:$BE$51,7,FALSE))=TRUE,"DEPT not Found",VLOOKUP($A$1,'Cash Handling'!$A$5:$BE$51,7,FALSE))</f>
        <v>1</v>
      </c>
      <c r="D27" s="138">
        <f>IF(ISNA(VLOOKUP($A$1,'Cash Handling'!$A$5:$BE$51,13,FALSE))=TRUE,"DEPT not Found",VLOOKUP($A$1,'Cash Handling'!$A$5:$BE$51,13,FALSE))</f>
        <v>3</v>
      </c>
      <c r="E27" s="115">
        <f>IF(ISNA(VLOOKUP($A$1,'Cash Handling'!$A$5:$BE$51,14,FALSE))=TRUE,"DEPT not Found",VLOOKUP($A$1,'Cash Handling'!$A$5:$BE$51,14,FALSE))</f>
        <v>0.42857142857142855</v>
      </c>
      <c r="F27" s="138">
        <f>IF(ISNA(VLOOKUP($A$1,'Cash Handling'!$A$5:$BE$51,20,FALSE))=TRUE,"DEPT not Found",VLOOKUP($A$1,'Cash Handling'!$A$5:$BE$51,20,FALSE))</f>
        <v>3</v>
      </c>
      <c r="G27" s="115">
        <f>IF(ISNA(VLOOKUP($A$1,'Cash Handling'!$A$5:$BE$51,21,FALSE))=TRUE,"DEPT not Found",VLOOKUP($A$1,'Cash Handling'!$A$5:$BE$51,21,FALSE))</f>
        <v>0.6</v>
      </c>
      <c r="H27" s="138">
        <f>IF(ISNA(VLOOKUP($A$1,'Cash Handling'!$A$5:$AI$51,27,FALSE))=TRUE,"DEPT not Found",VLOOKUP($A$1,'Cash Handling'!$A$5:$AI$51,27,FALSE))</f>
        <v>2</v>
      </c>
      <c r="I27" s="115">
        <f>IF(ISNA(VLOOKUP($A$1,'Cash Handling'!$A$5:$AI$51,28,FALSE))=TRUE,"DEPT not Found",VLOOKUP($A$1,'Cash Handling'!$A$5:$AI$51,28,FALSE))</f>
        <v>0.66666666666666663</v>
      </c>
      <c r="J27" s="111">
        <f>IF(ISNA(VLOOKUP($A$1,'Cash Handling'!$A$5:$AI$51,34,FALSE))=TRUE,"DEPT not Found",VLOOKUP($A$1,'Cash Handling'!$A$5:$AI$51,34,FALSE))</f>
        <v>2</v>
      </c>
      <c r="K27" s="116">
        <f>IF(ISNA(VLOOKUP($A$1,'Cash Handling'!$A$5:$AI$51,35,FALSE))=TRUE,"DEPT not Found",VLOOKUP($A$1,'Cash Handling'!$A$5:$AI$51,35,FALSE))</f>
        <v>0.66666666666666663</v>
      </c>
    </row>
    <row r="28" spans="1:11" s="105" customFormat="1" ht="7.15" customHeight="1" x14ac:dyDescent="0.35">
      <c r="A28" s="141"/>
      <c r="B28" s="142"/>
      <c r="C28" s="133"/>
      <c r="D28" s="142"/>
      <c r="E28" s="133"/>
      <c r="F28" s="142"/>
      <c r="G28" s="133"/>
      <c r="H28" s="142"/>
      <c r="I28" s="112"/>
      <c r="J28" s="143"/>
      <c r="K28" s="113"/>
    </row>
    <row r="29" spans="1:11" s="105" customFormat="1" ht="15.5" x14ac:dyDescent="0.35">
      <c r="A29" s="144" t="s">
        <v>191</v>
      </c>
      <c r="B29" s="146"/>
      <c r="C29" s="145"/>
      <c r="D29" s="146"/>
      <c r="E29" s="145"/>
      <c r="F29" s="146"/>
      <c r="G29" s="145"/>
      <c r="H29" s="146"/>
      <c r="I29" s="112"/>
      <c r="J29" s="147"/>
      <c r="K29" s="113"/>
    </row>
    <row r="30" spans="1:11" s="105" customFormat="1" ht="15.5" x14ac:dyDescent="0.35">
      <c r="A30" s="114" t="s">
        <v>147</v>
      </c>
      <c r="B30" s="138">
        <f>IF(ISNA(VLOOKUP($A$1,'Credit Card'!$A$5:$BC$51,2,FALSE))=TRUE,"DEPT not Found",VLOOKUP($A$1,'Credit Card'!$A$5:$BC$51,2,FALSE))</f>
        <v>1</v>
      </c>
      <c r="C30" s="137"/>
      <c r="D30" s="111">
        <f>IF(ISNA(VLOOKUP($A$1,'Credit Card'!$A$5:$BC$51,13,FALSE))=TRUE,"DEPT not Found",VLOOKUP($A$1,'Credit Card'!$A$5:$BC$51,13,FALSE))</f>
        <v>1</v>
      </c>
      <c r="E30" s="137"/>
      <c r="F30" s="111">
        <f>IF(ISNA(VLOOKUP($A$1,'Credit Card'!$A$5:$BC$51,24,FALSE))=TRUE,"DEPT not Found",VLOOKUP($A$1,'Credit Card'!$A$5:$BC$51,24,FALSE))</f>
        <v>1</v>
      </c>
      <c r="G30" s="137"/>
      <c r="H30" s="138">
        <f>IF(ISNA(VLOOKUP($A$1,'Credit Card'!$A$5:$BC$51,35,FALSE))=TRUE,"DEPT not Found",VLOOKUP($A$1,'Credit Card'!$A$5:$BC$51,35,FALSE))</f>
        <v>1</v>
      </c>
      <c r="I30" s="137"/>
      <c r="J30" s="138">
        <f>IF(ISNA(VLOOKUP($A$1,'Credit Card'!$A$5:$BC$51,46,FALSE))=TRUE,"DEPT not Found",VLOOKUP($A$1,'Credit Card'!$A$5:$BC$51,46,FALSE))</f>
        <v>1</v>
      </c>
      <c r="K30" s="139"/>
    </row>
    <row r="31" spans="1:11" s="105" customFormat="1" ht="15.5" x14ac:dyDescent="0.35">
      <c r="A31" s="114" t="s">
        <v>144</v>
      </c>
      <c r="B31" s="138">
        <f>IF(ISNA(VLOOKUP($A$1,'Credit Card'!$A$5:$BC$51,3,FALSE))=TRUE,"DEPT not Found",VLOOKUP($A$1,'Credit Card'!$A$5:$BC$51,3,FALSE))</f>
        <v>1</v>
      </c>
      <c r="C31" s="133">
        <f>IF(ISNA(VLOOKUP($A$1,'Credit Card'!$A$5:$BC$51,4,FALSE))=TRUE,"DEPT not Found",VLOOKUP($A$1,'Credit Card'!$A$5:$BC$51,4,FALSE))</f>
        <v>1</v>
      </c>
      <c r="D31" s="111">
        <f>IF(ISNA(VLOOKUP($A$1,'Credit Card'!$A$5:$BC$51,14,FALSE))=TRUE,"DEPT not Found",VLOOKUP($A$1,'Credit Card'!$A$5:$BC$51,14,FALSE))</f>
        <v>1</v>
      </c>
      <c r="E31" s="133">
        <f>IF(ISNA(VLOOKUP($A$1,'Credit Card'!$A$5:$BC$51,15,FALSE))=TRUE,"DEPT not Found",VLOOKUP($A$1,'Credit Card'!$A$5:$BC$51,15,FALSE))</f>
        <v>1</v>
      </c>
      <c r="F31" s="111">
        <f>IF(ISNA(VLOOKUP($A$1,'Credit Card'!$A$5:$BC$51,25,FALSE))=TRUE,"DEPT not Found",VLOOKUP($A$1,'Credit Card'!$A$5:$BC$51,25,FALSE))</f>
        <v>1</v>
      </c>
      <c r="G31" s="133">
        <f>IF(ISNA(VLOOKUP($A$1,'Credit Card'!$A$5:$BC$51,26,FALSE))=TRUE,"DEPT not Found",VLOOKUP($A$1,'Credit Card'!$A$5:$BC$51,26,FALSE))</f>
        <v>1</v>
      </c>
      <c r="H31" s="138">
        <f>IF(ISNA(VLOOKUP($A$1,'Credit Card'!$A$5:$BC$51,36,FALSE))=TRUE,"DEPT not Found",VLOOKUP($A$1,'Credit Card'!$A$5:$BC$51,36,FALSE))</f>
        <v>1</v>
      </c>
      <c r="I31" s="133">
        <f>IF(ISNA(VLOOKUP($A$1,'Credit Card'!$A$5:$BC$51,37,FALSE))=TRUE,"DEPT not Found",VLOOKUP($A$1,'Credit Card'!$A$5:$BC$51,37,FALSE))</f>
        <v>1</v>
      </c>
      <c r="J31" s="138">
        <f>IF(ISNA(VLOOKUP($A$1,'Credit Card'!$A$5:$BC$51,47,FALSE))=TRUE,"DEPT not Found",VLOOKUP($A$1,'Credit Card'!$A$5:$BC$51,47,FALSE))</f>
        <v>1</v>
      </c>
      <c r="K31" s="134">
        <f>IF(ISNA(VLOOKUP($A$1,'Credit Card'!$A$5:$BC$51,48,FALSE))=TRUE,"DEPT not Found",VLOOKUP($A$1,'Credit Card'!$A$5:$BC$51,48,FALSE))</f>
        <v>1</v>
      </c>
    </row>
    <row r="32" spans="1:11" s="105" customFormat="1" ht="15.5" x14ac:dyDescent="0.35">
      <c r="A32" s="114" t="s">
        <v>196</v>
      </c>
      <c r="B32" s="138">
        <f>IF(ISNA(VLOOKUP($A$1,'Credit Card'!$A$5:$BC$51,5,FALSE))=TRUE,"DEPT not Found",VLOOKUP($A$1,'Credit Card'!$A$5:$BC$51,5,FALSE))</f>
        <v>621</v>
      </c>
      <c r="C32" s="291">
        <f>(IF(ISNA(VLOOKUP($A$1,'Credit Card'!$A$5:$BC$51,6,FALSE))=TRUE,"DEPT not Found",VLOOKUP($A$1,'Credit Card'!$A$5:$BC$51,6,FALSE))/1000)</f>
        <v>509.85654</v>
      </c>
      <c r="D32" s="138">
        <f>IF(ISNA(VLOOKUP($A$1,'Credit Card'!$A$5:$BC$51,16,FALSE))=TRUE,"DEPT not Found",VLOOKUP($A$1,'Credit Card'!$A$5:$BC$51,16,FALSE))</f>
        <v>703</v>
      </c>
      <c r="E32" s="291">
        <f>(IF(ISNA(VLOOKUP($A$1,'Credit Card'!$A$5:$BC$51,17,FALSE))=TRUE,"DEPT not Found",VLOOKUP($A$1,'Credit Card'!$A$5:$BC$51,17,FALSE))/1000)</f>
        <v>502.99849999999998</v>
      </c>
      <c r="F32" s="138">
        <f>IF(ISNA(VLOOKUP($A$1,'Credit Card'!$A$5:$BC$51,27,FALSE))=TRUE,"DEPT not Found",VLOOKUP($A$1,'Credit Card'!$A$5:$BC$51,27,FALSE))</f>
        <v>1013</v>
      </c>
      <c r="G32" s="326">
        <f>(IF(ISNA(VLOOKUP($A$1,'Credit Card'!$A$5:$BC$51,28,FALSE))=TRUE,"DEPT not Found",VLOOKUP($A$1,'Credit Card'!$A$5:$BC$51,28,FALSE))/1000)</f>
        <v>621.13649999999996</v>
      </c>
      <c r="H32" s="138">
        <f>IF(ISNA(VLOOKUP($A$1,'Credit Card'!$A$5:$BC$51,38,FALSE))=TRUE,"DEPT not Found",VLOOKUP($A$1,'Credit Card'!$A$5:$BC$51,38,FALSE))</f>
        <v>903</v>
      </c>
      <c r="I32" s="291">
        <f>(IF(ISNA(VLOOKUP($A$1,'Credit Card'!$A$5:$BC$51,39,FALSE))=TRUE,"DEPT not Found",VLOOKUP($A$1,'Credit Card'!$A$5:$BC$51,39,FALSE))/1000)</f>
        <v>578.15231000000006</v>
      </c>
      <c r="J32" s="138">
        <f>IF(ISNA(VLOOKUP($A$1,'Credit Card'!$A$5:$BC$51,49,FALSE))=TRUE,"DEPT not Found",VLOOKUP($A$1,'Credit Card'!$A$5:$BC$51,49,FALSE))</f>
        <v>1203</v>
      </c>
      <c r="K32" s="328">
        <f>(IF(ISNA(VLOOKUP($A$1,'Credit Card'!$A$5:$BC$51,50,FALSE))=TRUE,"DEPT not Found",VLOOKUP($A$1,'Credit Card'!$A$5:$BC$51,50,FALSE))/1000)</f>
        <v>719.13699999999994</v>
      </c>
    </row>
    <row r="33" spans="1:16" s="105" customFormat="1" ht="15.5" x14ac:dyDescent="0.35">
      <c r="A33" s="114" t="s">
        <v>86</v>
      </c>
      <c r="B33" s="138">
        <f>IF(ISNA(VLOOKUP($A$1,'Credit Card'!$A$5:$BC$51,7,FALSE))=TRUE,"DEPT not Found",VLOOKUP($A$1,'Credit Card'!$A$5:$BC$51,7,FALSE))</f>
        <v>42</v>
      </c>
      <c r="C33" s="291">
        <f>(IF(ISNA(VLOOKUP($A$1,'Credit Card'!$A$5:$BC$51,8,FALSE))=TRUE,"DEPT not Found",VLOOKUP($A$1,'Credit Card'!$A$5:$BC$51,8,FALSE))/1000)</f>
        <v>14.744459999999998</v>
      </c>
      <c r="D33" s="138">
        <f>IF(ISNA(VLOOKUP($A$1,'Credit Card'!$A$5:$BC$51,18,FALSE))=TRUE,"DEPT not Found",VLOOKUP($A$1,'Credit Card'!$A$5:$BC$51,18,FALSE))</f>
        <v>48</v>
      </c>
      <c r="E33" s="291">
        <f>(IF(ISNA(VLOOKUP($A$1,'Credit Card'!$A$5:$BC$51,19,FALSE))=TRUE,"DEPT not Found",VLOOKUP($A$1,'Credit Card'!$A$5:$BC$51,19,FALSE))/1000)</f>
        <v>10.981999999999999</v>
      </c>
      <c r="F33" s="138">
        <f>IF(ISNA(VLOOKUP($A$1,'Credit Card'!$A$5:$BC$51,29,FALSE))=TRUE,"DEPT not Found",VLOOKUP($A$1,'Credit Card'!$A$5:$BC$51,29,FALSE))</f>
        <v>53</v>
      </c>
      <c r="G33" s="326">
        <f>(IF(ISNA(VLOOKUP($A$1,'Credit Card'!$A$5:$BC$51,30,FALSE))=TRUE,"DEPT not Found",VLOOKUP($A$1,'Credit Card'!$A$5:$BC$51,30,FALSE))/1000)</f>
        <v>15.0824</v>
      </c>
      <c r="H33" s="138">
        <f>IF(ISNA(VLOOKUP($A$1,'Credit Card'!$A$5:$BC$51,40,FALSE))=TRUE,"DEPT not Found",VLOOKUP($A$1,'Credit Card'!$A$5:$BC$51,40,FALSE))</f>
        <v>64</v>
      </c>
      <c r="I33" s="291">
        <f>(IF(ISNA(VLOOKUP($A$1,'Credit Card'!$A$5:$BC$51,41,FALSE))=TRUE,"DEPT not Found",VLOOKUP($A$1,'Credit Card'!$A$5:$BC$51,41,FALSE))/1000)</f>
        <v>15.728</v>
      </c>
      <c r="J33" s="138">
        <f>IF(ISNA(VLOOKUP($A$1,'Credit Card'!$A$5:$BC$51,51,FALSE))=TRUE,"DEPT not Found",VLOOKUP($A$1,'Credit Card'!$A$5:$BC$51,51,FALSE))</f>
        <v>47</v>
      </c>
      <c r="K33" s="328">
        <f>(IF(ISNA(VLOOKUP($A$1,'Credit Card'!$A$5:$BC$51,52,FALSE))=TRUE,"DEPT not Found",VLOOKUP($A$1,'Credit Card'!$A$5:$BC$51,52,FALSE))/1000)</f>
        <v>15.56</v>
      </c>
    </row>
    <row r="34" spans="1:16" s="105" customFormat="1" ht="15.5" x14ac:dyDescent="0.35">
      <c r="A34" s="114" t="s">
        <v>161</v>
      </c>
      <c r="B34" s="138">
        <f>IF(ISNA(VLOOKUP($A$1,'Credit Card'!$A$5:$BC$51,9,FALSE))=TRUE,"DEPT not Found",VLOOKUP($A$1,'Credit Card'!$A$5:$BC$51,9,FALSE))</f>
        <v>6</v>
      </c>
      <c r="C34" s="148"/>
      <c r="D34" s="138">
        <f>IF(ISNA(VLOOKUP($A$1,'Credit Card'!$A$5:$BC$51,20,FALSE))=TRUE,"DEPT not Found",VLOOKUP($A$1,'Credit Card'!$A$5:$BC$51,20,FALSE))</f>
        <v>7</v>
      </c>
      <c r="E34" s="137"/>
      <c r="F34" s="138">
        <f>IF(ISNA(VLOOKUP($A$1,'Credit Card'!$A$5:$BC$51,31,FALSE))=TRUE,"DEPT not Found",VLOOKUP($A$1,'Credit Card'!$A$5:$BC$51,31,FALSE))</f>
        <v>7</v>
      </c>
      <c r="G34" s="137"/>
      <c r="H34" s="138">
        <f>IF(ISNA(VLOOKUP($A$1,'Credit Card'!$A$5:$BC$51,42,FALSE))=TRUE,"DEPT not Found",VLOOKUP($A$1,'Credit Card'!$A$5:$BC$51,42,FALSE))</f>
        <v>5</v>
      </c>
      <c r="I34" s="137"/>
      <c r="J34" s="138">
        <f>IF(ISNA(VLOOKUP($A$1,'Credit Card'!$A$5:$BC$51,53,FALSE))=TRUE,"DEPT not Found",VLOOKUP($A$1,'Credit Card'!$A$5:$BC$51,53,FALSE))</f>
        <v>6</v>
      </c>
      <c r="K34" s="139"/>
    </row>
    <row r="35" spans="1:16" s="105" customFormat="1" ht="15.5" x14ac:dyDescent="0.35">
      <c r="A35" s="114" t="s">
        <v>197</v>
      </c>
      <c r="B35" s="138">
        <f>IF(ISNA(VLOOKUP($A$1,'Credit Card'!$A$5:$BC$51,10,FALSE))=TRUE,"DEPT not Found",VLOOKUP($A$1,'Credit Card'!$A$5:$BC$51,10,FALSE))</f>
        <v>4</v>
      </c>
      <c r="C35" s="115">
        <f>IF(ISNA(VLOOKUP($A$1,'Credit Card'!$A$5:$BC$51,11,FALSE))=TRUE,"DEPT not Found",VLOOKUP($A$1,'Credit Card'!$A$5:$BC$51,11,FALSE))</f>
        <v>0.66666666666666663</v>
      </c>
      <c r="D35" s="138">
        <f>IF(ISNA(VLOOKUP($A$1,'Credit Card'!$A$5:$BC$51,21,FALSE))=TRUE,"DEPT not Found",VLOOKUP($A$1,'Credit Card'!$A$5:$BC$51,21,FALSE))</f>
        <v>5</v>
      </c>
      <c r="E35" s="115">
        <f>IF(ISNA(VLOOKUP($A$1,'Credit Card'!$A$5:$BC$51,22,FALSE))=TRUE,"DEPT not Found",VLOOKUP($A$1,'Credit Card'!$A$5:$BC$51,22,FALSE))</f>
        <v>0.7142857142857143</v>
      </c>
      <c r="F35" s="138">
        <f>IF(ISNA(VLOOKUP($A$1,'Credit Card'!$A$5:$BC$51,32,FALSE))=TRUE,"DEPT not Found",VLOOKUP($A$1,'Credit Card'!$A$5:$BC$51,32,FALSE))</f>
        <v>5</v>
      </c>
      <c r="G35" s="115">
        <f>IF(ISNA(VLOOKUP($A$1,'Credit Card'!$A$5:$BC$51,33,FALSE))=TRUE,"DEPT not Found",VLOOKUP($A$1,'Credit Card'!$A$5:$BC$51,33,FALSE))</f>
        <v>0.7142857142857143</v>
      </c>
      <c r="H35" s="138">
        <f>IF(ISNA(VLOOKUP($A$1,'Credit Card'!$A$5:$BC$51,43,FALSE))=TRUE,"DEPT not Found",VLOOKUP($A$1,'Credit Card'!$A$5:$BC$51,43,FALSE))</f>
        <v>5</v>
      </c>
      <c r="I35" s="115">
        <f>IF(ISNA(VLOOKUP($A$1,'Credit Card'!$A$5:$BC$51,44,FALSE))=TRUE,"DEPT not Found",VLOOKUP($A$1,'Credit Card'!$A$5:$BC$51,44,FALSE))</f>
        <v>1</v>
      </c>
      <c r="J35" s="138">
        <f>IF(ISNA(VLOOKUP($A$1,'Credit Card'!$A$5:$BC$51,54,FALSE))=TRUE,"DEPT not Found",VLOOKUP($A$1,'Credit Card'!$A$5:$BC$51,54,FALSE))</f>
        <v>5</v>
      </c>
      <c r="K35" s="116">
        <f>IF(ISNA(VLOOKUP($A$1,'Credit Card'!$A$5:$BC$51,55,FALSE))=TRUE,"DEPT not Found",VLOOKUP($A$1,'Credit Card'!$A$5:$BC$51,55,FALSE))</f>
        <v>0.83333333333333337</v>
      </c>
    </row>
    <row r="36" spans="1:16" s="105" customFormat="1" ht="7.15" customHeight="1" thickBot="1" x14ac:dyDescent="0.4">
      <c r="A36" s="126"/>
      <c r="B36" s="149"/>
      <c r="C36" s="149"/>
      <c r="D36" s="149"/>
      <c r="E36" s="149"/>
      <c r="F36" s="149"/>
      <c r="G36" s="149"/>
      <c r="H36" s="149"/>
      <c r="I36" s="127"/>
      <c r="J36" s="149"/>
      <c r="K36" s="128"/>
    </row>
    <row r="37" spans="1:16" s="105" customFormat="1" ht="16.5" customHeight="1" thickBot="1" x14ac:dyDescent="0.4">
      <c r="A37" s="129"/>
      <c r="B37" s="305"/>
      <c r="C37" s="305"/>
      <c r="D37" s="305"/>
      <c r="E37" s="305"/>
      <c r="F37" s="305"/>
      <c r="G37" s="305"/>
      <c r="H37" s="305"/>
      <c r="I37" s="130"/>
      <c r="J37" s="305"/>
      <c r="K37" s="130"/>
    </row>
    <row r="38" spans="1:16" s="105" customFormat="1" ht="18.5" x14ac:dyDescent="0.45">
      <c r="A38" s="361" t="s">
        <v>336</v>
      </c>
      <c r="B38" s="362"/>
      <c r="C38" s="362"/>
      <c r="D38" s="362"/>
      <c r="E38" s="362"/>
      <c r="F38" s="362"/>
      <c r="G38" s="362"/>
      <c r="H38" s="362"/>
      <c r="I38" s="362"/>
      <c r="J38" s="362"/>
      <c r="K38" s="363"/>
    </row>
    <row r="39" spans="1:16" s="105" customFormat="1" ht="15.5" x14ac:dyDescent="0.35">
      <c r="A39" s="106"/>
      <c r="B39" s="347" t="str">
        <f>B22</f>
        <v>FY 2017</v>
      </c>
      <c r="C39" s="347"/>
      <c r="D39" s="347" t="str">
        <f>D22</f>
        <v>FY 2018</v>
      </c>
      <c r="E39" s="347"/>
      <c r="F39" s="347" t="str">
        <f>F22</f>
        <v>FY 2019</v>
      </c>
      <c r="G39" s="347"/>
      <c r="H39" s="347" t="str">
        <f>H22</f>
        <v>FY 2020</v>
      </c>
      <c r="I39" s="347"/>
      <c r="J39" s="347" t="str">
        <f>J22</f>
        <v>FY 2021</v>
      </c>
      <c r="K39" s="354"/>
    </row>
    <row r="40" spans="1:16" s="105" customFormat="1" ht="15.5" x14ac:dyDescent="0.35">
      <c r="A40" s="107" t="s">
        <v>384</v>
      </c>
      <c r="B40" s="348">
        <f>(IF(ISNA(VLOOKUP($A$1,'T&amp;E Spend'!$A$5:$T$53,2,FALSE))=TRUE,"DEPT not Found",VLOOKUP($A$1,'T&amp;E Spend'!$A$5:$T$53,2,FALSE))/1000)</f>
        <v>837.72540000000151</v>
      </c>
      <c r="C40" s="349"/>
      <c r="D40" s="350">
        <f>(IF(ISNA(VLOOKUP($A$1,'T&amp;E Spend'!$A$5:$T$53,6,FALSE))=TRUE,"DEPT not Found",VLOOKUP($A$1,'T&amp;E Spend'!$A$5:$T$53,6,FALSE))/1000)</f>
        <v>1042.6496700000012</v>
      </c>
      <c r="E40" s="349"/>
      <c r="F40" s="350">
        <f>(IF(ISNA(VLOOKUP($A$1,'T&amp;E Spend'!$A$5:$T$53,10,FALSE))=TRUE,"DEPT not Found",VLOOKUP($A$1,'T&amp;E Spend'!$A$5:$T$53,10,FALSE))/1000)</f>
        <v>1176.8349500000008</v>
      </c>
      <c r="G40" s="349"/>
      <c r="H40" s="348">
        <f>(IF(ISNA(VLOOKUP($A$1,'T&amp;E Spend'!$A$5:$T$53,14,FALSE))=TRUE,"DEPT not Found",VLOOKUP($A$1,'T&amp;E Spend'!$A$5:$T$53,14,FALSE))/1000)</f>
        <v>905.22874000000115</v>
      </c>
      <c r="I40" s="349"/>
      <c r="J40" s="350">
        <f>(IF(ISNA(VLOOKUP($A$1,'T&amp;E Spend'!$A$5:$T$53,18,FALSE))=TRUE,"DEPT not Found",VLOOKUP($A$1,'T&amp;E Spend'!$A$5:$T$53,18,FALSE))/1000)</f>
        <v>241.6509699999998</v>
      </c>
      <c r="K40" s="355"/>
    </row>
    <row r="41" spans="1:16" s="105" customFormat="1" ht="15.5" x14ac:dyDescent="0.35">
      <c r="A41" s="107" t="s">
        <v>166</v>
      </c>
      <c r="B41" s="153"/>
      <c r="C41" s="109"/>
      <c r="D41" s="108"/>
      <c r="E41" s="109"/>
      <c r="F41" s="108"/>
      <c r="G41" s="109"/>
      <c r="H41" s="153"/>
      <c r="I41" s="109"/>
      <c r="J41" s="108"/>
      <c r="K41" s="87"/>
    </row>
    <row r="42" spans="1:16" s="105" customFormat="1" ht="15.5" x14ac:dyDescent="0.35">
      <c r="A42" s="110" t="s">
        <v>50</v>
      </c>
      <c r="B42" s="138">
        <f>IF(ISNA(VLOOKUP($A$1,PCards!$A$5:$AI$51,2,FALSE))=TRUE,"DEPT not Found",VLOOKUP($A$1,PCards!$A$5:$AI$51,2,FALSE))</f>
        <v>15</v>
      </c>
      <c r="C42" s="112"/>
      <c r="D42" s="111">
        <f>IF(ISNA(VLOOKUP($A$1,PCards!$A$5:$AI$51,9,FALSE))=TRUE,"DEPT not Found",VLOOKUP($A$1,PCards!$A$5:$AI$51,9,FALSE))</f>
        <v>17</v>
      </c>
      <c r="E42" s="112"/>
      <c r="F42" s="111">
        <f>IF(ISNA(VLOOKUP($A$1,PCards!$A$5:$AI$51,16,FALSE))=TRUE,"DEPT not Found",VLOOKUP($A$1,PCards!$A$5:$AI$51,16,FALSE))</f>
        <v>19</v>
      </c>
      <c r="G42" s="112"/>
      <c r="H42" s="138">
        <f>IF(ISNA(VLOOKUP($A$1,PCards!$A$5:$AI$51,23,FALSE))=TRUE,"DEPT not Found",VLOOKUP($A$1,PCards!$A$5:$AI$51,23,FALSE))</f>
        <v>22</v>
      </c>
      <c r="I42" s="112"/>
      <c r="J42" s="111">
        <f>IF(ISNA(VLOOKUP($A$1,PCards!$A$5:$AI$51,30,FALSE))=TRUE,"DEPT not Found",VLOOKUP($A$1,PCards!$A$5:$AI$51,30,FALSE))</f>
        <v>21</v>
      </c>
      <c r="K42" s="113"/>
    </row>
    <row r="43" spans="1:16" s="105" customFormat="1" ht="15.5" x14ac:dyDescent="0.35">
      <c r="A43" s="110" t="s">
        <v>45</v>
      </c>
      <c r="B43" s="138">
        <f>IF(ISNA(VLOOKUP($A$1,PCards!$A$5:$AI$51,3,FALSE))=TRUE,"DEPT not Found",VLOOKUP($A$1,PCards!$A$5:$AI$51,3,FALSE))</f>
        <v>13</v>
      </c>
      <c r="C43" s="112"/>
      <c r="D43" s="111">
        <f>IF(ISNA(VLOOKUP($A$1,PCards!$A$5:$AI$51,10,FALSE))=TRUE,"DEPT not Found",VLOOKUP($A$1,PCards!$A$5:$AI$51,10,FALSE))</f>
        <v>16</v>
      </c>
      <c r="E43" s="112"/>
      <c r="F43" s="111">
        <f>IF(ISNA(VLOOKUP($A$1,PCards!$A$5:$AI$51,17,FALSE))=TRUE,"DEPT not Found",VLOOKUP($A$1,PCards!$A$5:$AI$51,17,FALSE))</f>
        <v>17</v>
      </c>
      <c r="G43" s="112"/>
      <c r="H43" s="138">
        <f>IF(ISNA(VLOOKUP($A$1,PCards!$A$5:$AI$51,24,FALSE))=TRUE,"DEPT not Found",VLOOKUP($A$1,PCards!$A$5:$AI$51,24,FALSE))</f>
        <v>20</v>
      </c>
      <c r="I43" s="112"/>
      <c r="J43" s="111">
        <f>IF(ISNA(VLOOKUP($A$1,PCards!$A$5:$AI$51,31,FALSE))=TRUE,"DEPT not Found",VLOOKUP($A$1,PCards!$A$5:$AI$51,31,FALSE))</f>
        <v>19</v>
      </c>
      <c r="K43" s="113"/>
    </row>
    <row r="44" spans="1:16" s="105" customFormat="1" ht="15.5" x14ac:dyDescent="0.35">
      <c r="A44" s="114" t="s">
        <v>46</v>
      </c>
      <c r="B44" s="138">
        <f>IF(ISNA(VLOOKUP($A$1,PCards!$A$5:$AI$51,4,FALSE))=TRUE,"DEPT not Found",VLOOKUP($A$1,PCards!$A$5:$AI$51,4,FALSE))</f>
        <v>0</v>
      </c>
      <c r="C44" s="115">
        <f>IF(ISNA(VLOOKUP($A$1,PCards!$A$5:$AI$51,5,FALSE))=TRUE,"DEPT not Found",VLOOKUP($A$1,PCards!$A$5:$AI$51,5,FALSE))</f>
        <v>0</v>
      </c>
      <c r="D44" s="111">
        <f>IF(ISNA(VLOOKUP($A$1,PCards!$A$5:$AI$51,11,FALSE))=TRUE,"DEPT not Found",VLOOKUP($A$1,PCards!$A$5:$AI$51,11,FALSE))</f>
        <v>0</v>
      </c>
      <c r="E44" s="115">
        <f>IF(ISNA(VLOOKUP($A$1,PCards!$A$5:$AI$51,12,FALSE))=TRUE,"DEPT not Found",VLOOKUP($A$1,PCards!$A$5:$AI$51,12,FALSE))</f>
        <v>0</v>
      </c>
      <c r="F44" s="111">
        <f>IF(ISNA(VLOOKUP($A$1,PCards!$A$5:$AI$51,18,FALSE))=TRUE,"DEPT not Found",VLOOKUP($A$1,PCards!$A$5:$AI$51,18,FALSE))</f>
        <v>0</v>
      </c>
      <c r="G44" s="115">
        <f>IF(ISNA(VLOOKUP($A$1,PCards!$A$5:$AI$51,19,FALSE))=TRUE,"DEPT not Found",VLOOKUP($A$1,PCards!$A$5:$AI$51,19,FALSE))</f>
        <v>0</v>
      </c>
      <c r="H44" s="138">
        <f>IF(ISNA(VLOOKUP($A$1,PCards!$A$5:$AI$51,25,FALSE))=TRUE,"DEPT not Found",VLOOKUP($A$1,PCards!$A$5:$AI$51,25,FALSE))</f>
        <v>0</v>
      </c>
      <c r="I44" s="115">
        <f>IF(ISNA(VLOOKUP($A$1,PCards!$A$5:$AI$51,26,FALSE))=TRUE,"DEPT not Found",VLOOKUP($A$1,PCards!$A$5:$AI$51,26,FALSE))</f>
        <v>0</v>
      </c>
      <c r="J44" s="111">
        <f>IF(ISNA(VLOOKUP($A$1,PCards!$A$5:$AI$51,32,FALSE))=TRUE,"DEPT not Found",VLOOKUP($A$1,PCards!$A$5:$AI$51,32,FALSE))</f>
        <v>0</v>
      </c>
      <c r="K44" s="116">
        <f>IF(ISNA(VLOOKUP($A$1,PCards!$A$5:$AI$51,33,FALSE))=TRUE,"DEPT not Found",VLOOKUP($A$1,PCards!$A$5:$AI$51,33,FALSE))</f>
        <v>0</v>
      </c>
    </row>
    <row r="45" spans="1:16" s="105" customFormat="1" ht="15" customHeight="1" x14ac:dyDescent="0.35">
      <c r="A45" s="114" t="s">
        <v>47</v>
      </c>
      <c r="B45" s="138">
        <f>IF(ISNA(VLOOKUP($A$1,PCards!$A$5:$AI$51,6,FALSE))=TRUE,"DEPT not Found",VLOOKUP($A$1,PCards!$A$5:$AI$51,6,FALSE))</f>
        <v>0</v>
      </c>
      <c r="C45" s="115">
        <f>IF(ISNA(VLOOKUP($A$1,PCards!$A$5:$AI$51,7,FALSE))=TRUE,"DEPT not Found",VLOOKUP($A$1,PCards!$A$5:$AI$51,7,FALSE))</f>
        <v>0</v>
      </c>
      <c r="D45" s="111">
        <f>IF(ISNA(VLOOKUP($A$1,PCards!$A$5:$AI$51,13,FALSE))=TRUE,"DEPT not Found",VLOOKUP($A$1,PCards!$A$5:$AI$51,13,FALSE))</f>
        <v>0</v>
      </c>
      <c r="E45" s="115">
        <f>IF(ISNA(VLOOKUP($A$1,PCards!$A$5:$AI$51,14,FALSE))=TRUE,"DEPT not Found",VLOOKUP($A$1,PCards!$A$5:$AI$51,14,FALSE))</f>
        <v>0</v>
      </c>
      <c r="F45" s="111">
        <f>IF(ISNA(VLOOKUP($A$1,PCards!$A$5:$AI$51,20,FALSE))=TRUE,"DEPT not Found",VLOOKUP($A$1,PCards!$A$5:$AI$51,20,FALSE))</f>
        <v>0</v>
      </c>
      <c r="G45" s="115">
        <f>IF(ISNA(VLOOKUP($A$1,PCards!$A$5:$AI$51,21,FALSE))=TRUE,"DEPT not Found",VLOOKUP($A$1,PCards!$A$5:$AI$51,21,FALSE))</f>
        <v>0</v>
      </c>
      <c r="H45" s="138">
        <f>IF(ISNA(VLOOKUP($A$1,PCards!$A$5:$AI$51,27,FALSE))=TRUE,"DEPT not Found",VLOOKUP($A$1,PCards!$A$5:$AI$51,27,FALSE))</f>
        <v>0</v>
      </c>
      <c r="I45" s="115">
        <f>IF(ISNA(VLOOKUP($A$1,PCards!$A$5:$AI$51,28,FALSE))=TRUE,"DEPT not Found",VLOOKUP($A$1,PCards!$A$5:$AI$51,28,FALSE))</f>
        <v>0</v>
      </c>
      <c r="J45" s="111">
        <f>IF(ISNA(VLOOKUP($A$1,PCards!$A$5:$AI$51,34,FALSE))=TRUE,"DEPT not Found",VLOOKUP($A$1,PCards!$A$5:$AI$51,34,FALSE))</f>
        <v>0</v>
      </c>
      <c r="K45" s="116">
        <f>IF(ISNA(VLOOKUP($A$1,PCards!$A$5:$AI$51,35,FALSE))=TRUE,"DEPT not Found",VLOOKUP($A$1,PCards!$A$5:$AI$51,35,FALSE))</f>
        <v>0</v>
      </c>
    </row>
    <row r="46" spans="1:16" s="105" customFormat="1" ht="7.15" customHeight="1" x14ac:dyDescent="0.35">
      <c r="A46" s="117"/>
      <c r="B46" s="154"/>
      <c r="C46" s="119"/>
      <c r="D46" s="118"/>
      <c r="E46" s="119"/>
      <c r="F46" s="118"/>
      <c r="G46" s="119"/>
      <c r="H46" s="287"/>
      <c r="I46" s="119"/>
      <c r="J46" s="120"/>
      <c r="K46" s="121"/>
    </row>
    <row r="47" spans="1:16" s="105" customFormat="1" ht="15.5" x14ac:dyDescent="0.35">
      <c r="A47" s="122" t="s">
        <v>151</v>
      </c>
      <c r="B47" s="131"/>
      <c r="C47" s="109"/>
      <c r="D47" s="86"/>
      <c r="E47" s="109"/>
      <c r="F47" s="86"/>
      <c r="G47" s="109"/>
      <c r="H47" s="131"/>
      <c r="I47" s="109"/>
      <c r="J47" s="86"/>
      <c r="K47" s="87"/>
    </row>
    <row r="48" spans="1:16" s="105" customFormat="1" ht="15.5" x14ac:dyDescent="0.35">
      <c r="A48" s="114" t="s">
        <v>83</v>
      </c>
      <c r="B48" s="138">
        <f>IF(ISNA(VLOOKUP($A$1,'Concur Approvers'!$A$5:$T$51,2,FALSE))=TRUE,"DEPT not Found",VLOOKUP($A$1,'Concur Approvers'!$A$5:$T$51,2,FALSE))</f>
        <v>2</v>
      </c>
      <c r="C48" s="123"/>
      <c r="D48" s="111">
        <f>IF(ISNA(VLOOKUP($A$1,'Concur Approvers'!$A$5:$T$51,6,FALSE))=TRUE,"DEPT not Found",VLOOKUP($A$1,'Concur Approvers'!$A$5:$T$51,6,FALSE))</f>
        <v>6</v>
      </c>
      <c r="E48" s="123"/>
      <c r="F48" s="111">
        <f>IF(ISNA(VLOOKUP($A$1,'Concur Approvers'!$A$5:$T$51,10,FALSE))=TRUE,"DEPT not Found",VLOOKUP($A$1,'Concur Approvers'!$A$5:$T$51,10,FALSE))</f>
        <v>2</v>
      </c>
      <c r="G48" s="123"/>
      <c r="H48" s="138">
        <f>IF(ISNA(VLOOKUP($A$1,'Concur Approvers'!$A$5:$T$51,14,FALSE))=TRUE,"DEPT not Found",VLOOKUP($A$1,'Concur Approvers'!$A$5:$T$51,14,FALSE))</f>
        <v>3</v>
      </c>
      <c r="I48" s="119"/>
      <c r="J48" s="111">
        <f>IF(ISNA(VLOOKUP($A$1,'Concur Approvers'!$A$5:$T$51,18,FALSE))=TRUE,"DEPT not Found",VLOOKUP($A$1,'Concur Approvers'!$A$5:$T$51,18,FALSE))</f>
        <v>3</v>
      </c>
      <c r="K48" s="121"/>
      <c r="M48" s="124"/>
      <c r="N48" s="124"/>
      <c r="O48" s="124"/>
      <c r="P48" s="124"/>
    </row>
    <row r="49" spans="1:16" s="105" customFormat="1" ht="15.5" x14ac:dyDescent="0.35">
      <c r="A49" s="114" t="s">
        <v>82</v>
      </c>
      <c r="B49" s="138">
        <f>IF(ISNA(VLOOKUP($A$1,'Concur Approvers'!$A$5:$T$51,3,FALSE))=TRUE,"DEPT not Found",VLOOKUP($A$1,'Concur Approvers'!$A$5:$T$51,3,FALSE))</f>
        <v>2</v>
      </c>
      <c r="C49" s="115">
        <f>IF(ISNA(VLOOKUP($A$1,'Concur Approvers'!$A$5:$T$51,4,FALSE))=TRUE,"DEPT not Found",VLOOKUP($A$1,'Concur Approvers'!$A$5:$T$51,4,FALSE))</f>
        <v>1</v>
      </c>
      <c r="D49" s="111">
        <f>IF(ISNA(VLOOKUP($A$1,'Concur Approvers'!$A$5:$T$51,7,FALSE))=TRUE,"DEPT not Found",VLOOKUP($A$1,'Concur Approvers'!$A$5:$T$51,7,FALSE))</f>
        <v>2</v>
      </c>
      <c r="E49" s="115">
        <f>IF(ISNA(VLOOKUP($A$1,'Concur Approvers'!$A$5:$T$51,8,FALSE))=TRUE,"DEPT not Found",VLOOKUP($A$1,'Concur Approvers'!$A$5:$T$51,8,FALSE))</f>
        <v>0.33333333333333331</v>
      </c>
      <c r="F49" s="111">
        <f>IF(ISNA(VLOOKUP($A$1,'Concur Approvers'!$A$5:$T$51,11,FALSE))=TRUE,"DEPT not Found",VLOOKUP($A$1,'Concur Approvers'!$A$5:$T$51,11,FALSE))</f>
        <v>1</v>
      </c>
      <c r="G49" s="115">
        <f>IF(ISNA(VLOOKUP($A$1,'Concur Approvers'!$A$5:$T$51,12,FALSE))=TRUE,"DEPT not Found",VLOOKUP($A$1,'Concur Approvers'!$A$5:$T$51,12,FALSE))</f>
        <v>0.5</v>
      </c>
      <c r="H49" s="138">
        <f>IF(ISNA(VLOOKUP($A$1,'Concur Approvers'!$A$5:$T$51,15,FALSE))=TRUE,"DEPT not Found",VLOOKUP($A$1,'Concur Approvers'!$A$5:$T$51,15,FALSE))</f>
        <v>1</v>
      </c>
      <c r="I49" s="115">
        <f>IF(ISNA(VLOOKUP($A$1,'Concur Approvers'!$A$5:$T$51,16,FALSE))=TRUE,"DEPT not Found",VLOOKUP($A$1,'Concur Approvers'!$A$5:$T$51,16,FALSE))</f>
        <v>0.33333333333333331</v>
      </c>
      <c r="J49" s="111">
        <f>IF(ISNA(VLOOKUP($A$1,'Concur Approvers'!$A$5:$T$51,19,FALSE))=TRUE,"DEPT not Found",VLOOKUP($A$1,'Concur Approvers'!$A$5:$T$51,19,FALSE))</f>
        <v>2</v>
      </c>
      <c r="K49" s="116">
        <f>IF(ISNA(VLOOKUP($A$1,'Concur Approvers'!$A$5:$T$51,20,FALSE))=TRUE,"DEPT not Found",VLOOKUP($A$1,'Concur Approvers'!$A$5:$T$51,20,FALSE))</f>
        <v>0.66666666666666663</v>
      </c>
      <c r="M49" s="125"/>
      <c r="N49" s="125"/>
      <c r="O49" s="125"/>
      <c r="P49" s="125"/>
    </row>
    <row r="50" spans="1:16" s="105" customFormat="1" ht="7.15" customHeight="1" thickBot="1" x14ac:dyDescent="0.4">
      <c r="A50" s="126"/>
      <c r="B50" s="127"/>
      <c r="C50" s="127"/>
      <c r="D50" s="127"/>
      <c r="E50" s="127"/>
      <c r="F50" s="127"/>
      <c r="G50" s="127"/>
      <c r="H50" s="127"/>
      <c r="I50" s="127"/>
      <c r="J50" s="127"/>
      <c r="K50" s="128"/>
    </row>
    <row r="51" spans="1:16" s="105" customFormat="1" ht="7.15" customHeight="1" x14ac:dyDescent="0.35">
      <c r="A51" s="129"/>
      <c r="B51" s="130"/>
      <c r="C51" s="130"/>
      <c r="D51" s="130"/>
      <c r="E51" s="130"/>
      <c r="F51" s="130"/>
      <c r="G51" s="130"/>
      <c r="H51" s="130"/>
      <c r="I51" s="130"/>
      <c r="J51" s="130"/>
      <c r="K51" s="130"/>
    </row>
    <row r="52" spans="1:16" s="105" customFormat="1" ht="16" thickBot="1" x14ac:dyDescent="0.4">
      <c r="A52" s="129"/>
      <c r="B52" s="130"/>
      <c r="C52" s="130"/>
      <c r="D52" s="130"/>
      <c r="E52" s="130"/>
      <c r="F52" s="130"/>
      <c r="G52" s="130"/>
      <c r="H52" s="130"/>
      <c r="I52" s="130"/>
      <c r="J52" s="130"/>
      <c r="K52" s="130"/>
    </row>
    <row r="53" spans="1:16" s="105" customFormat="1" ht="18.5" x14ac:dyDescent="0.45">
      <c r="A53" s="361" t="s">
        <v>193</v>
      </c>
      <c r="B53" s="362"/>
      <c r="C53" s="362"/>
      <c r="D53" s="362"/>
      <c r="E53" s="362"/>
      <c r="F53" s="362"/>
      <c r="G53" s="362"/>
      <c r="H53" s="362"/>
      <c r="I53" s="362"/>
      <c r="J53" s="362"/>
      <c r="K53" s="363"/>
    </row>
    <row r="54" spans="1:16" s="105" customFormat="1" ht="15.5" x14ac:dyDescent="0.35">
      <c r="A54" s="150"/>
      <c r="B54" s="347" t="str">
        <f>B39</f>
        <v>FY 2017</v>
      </c>
      <c r="C54" s="347"/>
      <c r="D54" s="347" t="str">
        <f>D39</f>
        <v>FY 2018</v>
      </c>
      <c r="E54" s="347"/>
      <c r="F54" s="347" t="str">
        <f>F39</f>
        <v>FY 2019</v>
      </c>
      <c r="G54" s="347"/>
      <c r="H54" s="347" t="str">
        <f>H39</f>
        <v>FY 2020</v>
      </c>
      <c r="I54" s="347"/>
      <c r="J54" s="347" t="str">
        <f>J39</f>
        <v>FY 2021</v>
      </c>
      <c r="K54" s="354"/>
    </row>
    <row r="55" spans="1:16" s="105" customFormat="1" ht="15.5" x14ac:dyDescent="0.35">
      <c r="A55" s="144" t="s">
        <v>153</v>
      </c>
      <c r="B55" s="351">
        <f>(IF(ISNA(VLOOKUP($A$1,'Gift Funds'!$A$5:$T$51,2,FALSE))=TRUE,"DEPT not Found",VLOOKUP($A$1,'Gift Funds'!$A$5:$T$51,2,FALSE))/1000)</f>
        <v>3697.0396700000028</v>
      </c>
      <c r="C55" s="352"/>
      <c r="D55" s="353">
        <f>(IF(ISNA(VLOOKUP($A$1,'Gift Funds'!$A$5:$T$51,6,FALSE))=TRUE,"DEPT not Found",VLOOKUP($A$1,'Gift Funds'!$A$5:$T$51,6,FALSE))/1000)</f>
        <v>3623.8218299999994</v>
      </c>
      <c r="E55" s="352"/>
      <c r="F55" s="353">
        <f>(IF(ISNA(VLOOKUP($A$1,'Gift Funds'!$A$5:$T$51,10,FALSE))=TRUE,"DEPT not Found",VLOOKUP($A$1,'Gift Funds'!$A$5:$T$51,10,FALSE))/1000)</f>
        <v>3526.1492800000005</v>
      </c>
      <c r="G55" s="352"/>
      <c r="H55" s="351">
        <f>(IF(ISNA(VLOOKUP($A$1,'Gift Funds'!$A$5:$T$51,14,FALSE))=TRUE,"DEPT not Found",VLOOKUP($A$1,'Gift Funds'!$A$5:$T$51,14,FALSE))/1000)</f>
        <v>3440.3598899999988</v>
      </c>
      <c r="I55" s="352"/>
      <c r="J55" s="353">
        <f>(IF(ISNA(VLOOKUP($A$1,'Gift Funds'!$A$5:$T$51,18,FALSE))=TRUE,"DEPT not Found",VLOOKUP($A$1,'Gift Funds'!$A$5:$T$51,18,FALSE))/1000)</f>
        <v>3393.2322999999978</v>
      </c>
      <c r="K55" s="356"/>
    </row>
    <row r="56" spans="1:16" s="105" customFormat="1" ht="15.5" x14ac:dyDescent="0.35">
      <c r="A56" s="114" t="s">
        <v>87</v>
      </c>
      <c r="B56" s="138">
        <f>IF(ISNA(VLOOKUP($A$1,'Gift Funds'!$A$5:$T$51,3,FALSE))=TRUE,"DEPT not Found",VLOOKUP($A$1,'Gift Funds'!$A$5:$T$51,3,FALSE))</f>
        <v>9</v>
      </c>
      <c r="C56" s="291">
        <f>(IF(ISNA(VLOOKUP($A$1,'Gift Funds'!$A$5:$T$51,4,FALSE))=TRUE,"DEPT not Found",VLOOKUP($A$1,'Gift Funds'!$A$5:$T$51,4,FALSE))/1000)</f>
        <v>265.12279999999998</v>
      </c>
      <c r="D56" s="138">
        <f>IF(ISNA(VLOOKUP($A$1,'Gift Funds'!$A$5:$T$51,7,FALSE))=TRUE,"DEPT not Found",VLOOKUP($A$1,'Gift Funds'!$A$5:$T$51,7,FALSE))</f>
        <v>11</v>
      </c>
      <c r="E56" s="291">
        <f>(IF(ISNA(VLOOKUP($A$1,'Gift Funds'!$A$5:$T$51,8,FALSE))=TRUE,"DEPT not Found",VLOOKUP($A$1,'Gift Funds'!$A$5:$T$51,8,FALSE))/1000)</f>
        <v>300.30802</v>
      </c>
      <c r="F56" s="138">
        <f>IF(ISNA(VLOOKUP($A$1,'Gift Funds'!$A$5:$T$51,11,FALSE))=TRUE,"DEPT not Found",VLOOKUP($A$1,'Gift Funds'!$A$5:$T$51,11,FALSE))</f>
        <v>8</v>
      </c>
      <c r="G56" s="291">
        <f>(IF(ISNA(VLOOKUP($A$1,'Gift Funds'!$A$5:$T$51,12,FALSE))=TRUE,"DEPT not Found",VLOOKUP($A$1,'Gift Funds'!$A$5:$T$51,12,FALSE))/1000)</f>
        <v>115.04312</v>
      </c>
      <c r="H56" s="138">
        <f>IF(ISNA(VLOOKUP($A$1,'Gift Funds'!$A$5:$T$51,15,FALSE))=TRUE,"DEPT not Found",VLOOKUP($A$1,'Gift Funds'!$A$5:$T$51,15,FALSE))</f>
        <v>7</v>
      </c>
      <c r="I56" s="291">
        <f>(IF(ISNA(VLOOKUP($A$1,'Gift Funds'!$A$5:$T$51,16,FALSE))=TRUE,"DEPT not Found",VLOOKUP($A$1,'Gift Funds'!$A$5:$T$51,16,FALSE))/1000)</f>
        <v>129.36783</v>
      </c>
      <c r="J56" s="111">
        <f>IF(ISNA(VLOOKUP($A$1,'Gift Funds'!$A$5:$T$51,19,FALSE))=TRUE,"DEPT not Found",VLOOKUP($A$1,'Gift Funds'!$A$5:$T$51,19,FALSE))</f>
        <v>8</v>
      </c>
      <c r="K56" s="292">
        <f>(IF(ISNA(VLOOKUP($A$1,'Gift Funds'!$A$5:$T$51,20,FALSE))=TRUE,"DEPT not Found",VLOOKUP($A$1,'Gift Funds'!$A$5:$T$51,20,FALSE))/1000)</f>
        <v>155.04402000000002</v>
      </c>
    </row>
    <row r="57" spans="1:16" s="105" customFormat="1" ht="7.15" customHeight="1" thickBot="1" x14ac:dyDescent="0.4">
      <c r="A57" s="126"/>
      <c r="B57" s="127"/>
      <c r="C57" s="127"/>
      <c r="D57" s="127"/>
      <c r="E57" s="127"/>
      <c r="F57" s="127"/>
      <c r="G57" s="127"/>
      <c r="H57" s="127"/>
      <c r="I57" s="127"/>
      <c r="J57" s="127"/>
      <c r="K57" s="128"/>
    </row>
    <row r="58" spans="1:16" s="105" customFormat="1" ht="16" thickBot="1" x14ac:dyDescent="0.4">
      <c r="A58" s="129"/>
      <c r="B58" s="130"/>
      <c r="C58" s="130"/>
      <c r="D58" s="130"/>
      <c r="E58" s="130"/>
      <c r="F58" s="130"/>
      <c r="G58" s="130"/>
      <c r="H58" s="130"/>
      <c r="I58" s="130"/>
      <c r="J58" s="130"/>
      <c r="K58" s="130"/>
    </row>
    <row r="59" spans="1:16" s="105" customFormat="1" ht="18.5" x14ac:dyDescent="0.45">
      <c r="A59" s="361" t="s">
        <v>194</v>
      </c>
      <c r="B59" s="362"/>
      <c r="C59" s="362"/>
      <c r="D59" s="362"/>
      <c r="E59" s="362"/>
      <c r="F59" s="362"/>
      <c r="G59" s="362"/>
      <c r="H59" s="362"/>
      <c r="I59" s="362"/>
      <c r="J59" s="362"/>
      <c r="K59" s="363"/>
    </row>
    <row r="60" spans="1:16" s="105" customFormat="1" ht="15.5" x14ac:dyDescent="0.35">
      <c r="A60" s="150"/>
      <c r="B60" s="347" t="s">
        <v>179</v>
      </c>
      <c r="C60" s="347"/>
      <c r="D60" s="347" t="s">
        <v>188</v>
      </c>
      <c r="E60" s="347"/>
      <c r="F60" s="347" t="s">
        <v>189</v>
      </c>
      <c r="G60" s="347"/>
      <c r="H60" s="347" t="s">
        <v>391</v>
      </c>
      <c r="I60" s="347"/>
      <c r="J60" s="347" t="s">
        <v>404</v>
      </c>
      <c r="K60" s="354"/>
    </row>
    <row r="61" spans="1:16" s="105" customFormat="1" ht="15.5" x14ac:dyDescent="0.35">
      <c r="A61" s="122" t="s">
        <v>167</v>
      </c>
      <c r="B61" s="348">
        <f>(IF(ISNA(VLOOKUP($A$1,'Financial Aid'!$A$5:$AN$51,2,FALSE))=TRUE,"DEPT not Found",VLOOKUP($A$1,'Financial Aid'!$A$5:$AN$51,2,FALSE))/1000)</f>
        <v>8172.0870000000004</v>
      </c>
      <c r="C61" s="349"/>
      <c r="D61" s="348">
        <f>(IF(ISNA(VLOOKUP($A$1,'Financial Aid'!$A$5:$AN$51,10,FALSE))=TRUE,"DEPT not Found",VLOOKUP($A$1,'Financial Aid'!$A$5:$AN$51,10,FALSE))/1000)</f>
        <v>9525.1450000000004</v>
      </c>
      <c r="E61" s="349"/>
      <c r="F61" s="322">
        <f>(IF(ISNA(VLOOKUP($A$1,'Financial Aid'!$A$5:$AN$51,18,FALSE))=TRUE,"DEPT not Found",VLOOKUP($A$1,'Financial Aid'!$A$5:$AN$51,18,FALSE))/1000)</f>
        <v>10286.931</v>
      </c>
      <c r="G61" s="323"/>
      <c r="H61" s="322">
        <f>(IF(ISNA(VLOOKUP($A$1,'Financial Aid'!$A$5:$AN$51,26,FALSE))=TRUE,"DEPT not Found",VLOOKUP($A$1,'Financial Aid'!$A$5:$AN$51,26,FALSE))/1000)</f>
        <v>10307.286660000003</v>
      </c>
      <c r="I61" s="323"/>
      <c r="J61" s="322">
        <f>(IF(ISNA(VLOOKUP($A$1,'Financial Aid'!$A$5:$AN$51,34,FALSE))=TRUE,"DEPT not Found",VLOOKUP($A$1,'Financial Aid'!$A$5:$AN$51,34,FALSE))/1000)</f>
        <v>9825.0190900000052</v>
      </c>
      <c r="K61" s="327"/>
    </row>
    <row r="62" spans="1:16" s="105" customFormat="1" ht="15.5" x14ac:dyDescent="0.35">
      <c r="A62" s="151" t="s">
        <v>146</v>
      </c>
      <c r="B62" s="288">
        <f>(IF(ISNA(VLOOKUP($A$1,'Financial Aid'!$A$5:$AN$51,3,FALSE))=TRUE,"DEPT not Found",VLOOKUP($A$1,'Financial Aid'!$A$5:$AN$51,3,FALSE))/1000)</f>
        <v>417.69499999999999</v>
      </c>
      <c r="C62" s="133">
        <f>IF(ISNA(VLOOKUP($A$1,'Financial Aid'!$A$5:$AN$51,4,FALSE))=TRUE,"DEPT not Found",VLOOKUP($A$1,'Financial Aid'!$A$5:$AN$51,4,FALSE))</f>
        <v>5.111240249889655E-2</v>
      </c>
      <c r="D62" s="322">
        <f>(IF(ISNA(VLOOKUP($A$1,'Financial Aid'!$A$5:$AN$51,11,FALSE))=TRUE,"DEPT not Found",VLOOKUP($A$1,'Financial Aid'!$A$5:$AN$51,11,FALSE))/1000)</f>
        <v>777.47900000000004</v>
      </c>
      <c r="E62" s="133">
        <f>IF(ISNA(VLOOKUP($A$1,'Financial Aid'!$A$5:$AN$51,12,FALSE))=TRUE,"DEPT not Found",VLOOKUP($A$1,'Financial Aid'!$A$5:$AN$51,12,FALSE))</f>
        <v>8.1623849295732506E-2</v>
      </c>
      <c r="F62" s="322">
        <f>(IF(ISNA(VLOOKUP($A$1,'Financial Aid'!$A$5:$AN$51,19,FALSE))=TRUE,"DEPT not Found",VLOOKUP($A$1,'Financial Aid'!$A$5:$AN$51,19,FALSE))/1000)</f>
        <v>986.779</v>
      </c>
      <c r="G62" s="133">
        <f>IF(ISNA(VLOOKUP($A$1,'Financial Aid'!$A$5:$AN$51,20,FALSE))=TRUE,"DEPT not Found",VLOOKUP($A$1,'Financial Aid'!$A$5:$AN$51,20,FALSE))</f>
        <v>9.592550003494725E-2</v>
      </c>
      <c r="H62" s="322">
        <f>(IF(ISNA(VLOOKUP($A$1,'Financial Aid'!$A$5:$AN$51,27,FALSE))=TRUE,"DEPT not Found",VLOOKUP($A$1,'Financial Aid'!$A$5:$AN$51,27,FALSE))/1000)</f>
        <v>624.94149000000004</v>
      </c>
      <c r="I62" s="133">
        <f>IF(ISNA(VLOOKUP($A$1,'Financial Aid'!$A$5:$AN$51,28,FALSE))=TRUE,"DEPT not Found",VLOOKUP($A$1,'Financial Aid'!$A$5:$AN$51,28,FALSE))</f>
        <v>6.0631038081558487E-2</v>
      </c>
      <c r="J62" s="322">
        <f>(IF(ISNA(VLOOKUP($A$1,'Financial Aid'!$A$5:$AN$51,35,FALSE))=TRUE,"DEPT not Found",VLOOKUP($A$1,'Financial Aid'!$A$5:$AN$51,35,FALSE))/1000)</f>
        <v>680.20810999999969</v>
      </c>
      <c r="K62" s="134">
        <f>IF(ISNA(VLOOKUP($A$1,'Financial Aid'!$A$5:$AN$51,36,FALSE))=TRUE,"DEPT not Found",VLOOKUP($A$1,'Financial Aid'!$A$5:$AN$51,36,FALSE))</f>
        <v>6.9232243089717926E-2</v>
      </c>
    </row>
    <row r="63" spans="1:16" s="105" customFormat="1" ht="15.5" x14ac:dyDescent="0.35">
      <c r="A63" s="114" t="s">
        <v>145</v>
      </c>
      <c r="B63" s="288">
        <f>(IF(ISNA(VLOOKUP($A$1,'Financial Aid'!$A$5:$AN$51,5,FALSE))=TRUE,"DEPT not Found",VLOOKUP($A$1,'Financial Aid'!$A$5:$AN$51,5,FALSE))/1000)</f>
        <v>490.185</v>
      </c>
      <c r="C63" s="133">
        <f>IF(ISNA(VLOOKUP($A$1,'Financial Aid'!$A$5:$AN$51,6,FALSE))=TRUE,"DEPT not Found",VLOOKUP($A$1,'Financial Aid'!$A$5:$AN$51,6,FALSE))</f>
        <v>5.9982841592361905E-2</v>
      </c>
      <c r="D63" s="322">
        <f>(IF(ISNA(VLOOKUP($A$1,'Financial Aid'!$A$5:$AN$51,13,FALSE))=TRUE,"DEPT not Found",VLOOKUP($A$1,'Financial Aid'!$A$5:$AN$51,13,FALSE))/1000)</f>
        <v>597.76400000000001</v>
      </c>
      <c r="E63" s="133">
        <f>IF(ISNA(VLOOKUP($A$1,'Financial Aid'!$A$5:$AN$51,14,FALSE))=TRUE,"DEPT not Found",VLOOKUP($A$1,'Financial Aid'!$A$5:$AN$51,14,FALSE))</f>
        <v>6.2756419981008157E-2</v>
      </c>
      <c r="F63" s="322">
        <f>(IF(ISNA(VLOOKUP($A$1,'Financial Aid'!$A$5:$AN$51,21,FALSE))=TRUE,"DEPT not Found",VLOOKUP($A$1,'Financial Aid'!$A$5:$AN$51,21,FALSE))/1000)</f>
        <v>704.60400000000004</v>
      </c>
      <c r="G63" s="133">
        <f>IF(ISNA(VLOOKUP($A$1,'Financial Aid'!$A$5:$AN$51,22,FALSE))=TRUE,"DEPT not Found",VLOOKUP($A$1,'Financial Aid'!$A$5:$AN$51,22,FALSE))</f>
        <v>6.8495064271355571E-2</v>
      </c>
      <c r="H63" s="322">
        <f>(IF(ISNA(VLOOKUP($A$1,'Financial Aid'!$A$5:$AN$51,29,FALSE))=TRUE,"DEPT not Found",VLOOKUP($A$1,'Financial Aid'!$A$5:$AN$51,29,FALSE))/1000)</f>
        <v>732.55997999999977</v>
      </c>
      <c r="I63" s="133">
        <f>IF(ISNA(VLOOKUP($A$1,'Financial Aid'!$A$5:$AN$51,30,FALSE))=TRUE,"DEPT not Found",VLOOKUP($A$1,'Financial Aid'!$A$5:$AN$51,30,FALSE))</f>
        <v>7.10720487519651E-2</v>
      </c>
      <c r="J63" s="322">
        <f>(IF(ISNA(VLOOKUP($A$1,'Financial Aid'!$A$5:$AN$51,37,FALSE))=TRUE,"DEPT not Found",VLOOKUP($A$1,'Financial Aid'!$A$5:$AN$51,37,FALSE))/1000)</f>
        <v>642.33908000000008</v>
      </c>
      <c r="K63" s="134">
        <f>IF(ISNA(VLOOKUP($A$1,'Financial Aid'!$A$5:$AN$51,38,FALSE))=TRUE,"DEPT not Found",VLOOKUP($A$1,'Financial Aid'!$A$5:$AN$51,38,FALSE))</f>
        <v>6.5377896380250156E-2</v>
      </c>
    </row>
    <row r="64" spans="1:16" s="105" customFormat="1" ht="15.5" x14ac:dyDescent="0.35">
      <c r="A64" s="114" t="s">
        <v>90</v>
      </c>
      <c r="B64" s="138">
        <f>IF(ISNA(VLOOKUP($A$1,'Financial Aid'!$A$5:$AN$51,7,FALSE))=TRUE,"DEPT not Found",VLOOKUP($A$1,'Financial Aid'!$A$5:$AN$51,7,FALSE))</f>
        <v>1</v>
      </c>
      <c r="C64" s="291">
        <f>(IF(ISNA(VLOOKUP($A$1,'Financial Aid'!$A$5:$AN$51,8,FALSE))=TRUE,"DEPT not Found",VLOOKUP($A$1,'Financial Aid'!$A$5:$AN$51,8,FALSE))/1000)</f>
        <v>0.75</v>
      </c>
      <c r="D64" s="138">
        <f>IF(ISNA(VLOOKUP($A$1,'Financial Aid'!$A$5:$AN$51,15,FALSE))=TRUE,"DEPT not Found",VLOOKUP($A$1,'Financial Aid'!$A$5:$AN$51,15,FALSE))</f>
        <v>0</v>
      </c>
      <c r="E64" s="326">
        <f>(IF(ISNA(VLOOKUP($A$1,'Financial Aid'!$A$5:$AN$51,16,FALSE))=TRUE,"DEPT not Found",VLOOKUP($A$1,'Financial Aid'!$A$5:$AN$51,16,FALSE))/1000)</f>
        <v>0</v>
      </c>
      <c r="F64" s="138">
        <f>IF(ISNA(VLOOKUP($A$1,'Financial Aid'!$A$5:$AN$51,23,FALSE))=TRUE,"DEPT not Found",VLOOKUP($A$1,'Financial Aid'!$A$5:$AN$51,23,FALSE))</f>
        <v>0</v>
      </c>
      <c r="G64" s="326">
        <f>(IF(ISNA(VLOOKUP($A$1,'Financial Aid'!$A$5:$AN$51,24,FALSE))=TRUE,"DEPT not Found",VLOOKUP($A$1,'Financial Aid'!$A$5:$AN$51,24,FALSE))/1000)</f>
        <v>0</v>
      </c>
      <c r="H64" s="138">
        <f>IF(ISNA(VLOOKUP($A$1,'Financial Aid'!$A$5:$AN$51,31,FALSE))=TRUE,"DEPT not Found",VLOOKUP($A$1,'Financial Aid'!$A$5:$AN$51,31,FALSE))</f>
        <v>0</v>
      </c>
      <c r="I64" s="326">
        <f>(IF(ISNA(VLOOKUP($A$1,'Financial Aid'!$A$5:$AN$51,32,FALSE))=TRUE,"DEPT not Found",VLOOKUP($A$1,'Financial Aid'!$A$5:$AN$51,32,FALSE))/1000)</f>
        <v>0</v>
      </c>
      <c r="J64" s="138">
        <f>IF(ISNA(VLOOKUP($A$1,'Financial Aid'!$A$5:$AN$51,39,FALSE))=TRUE,"DEPT not Found",VLOOKUP($A$1,'Financial Aid'!$A$5:$AN$51,39,FALSE))</f>
        <v>0</v>
      </c>
      <c r="K64" s="328">
        <f>(IF(ISNA(VLOOKUP($A$1,'Financial Aid'!$A$5:$AN$51,40,FALSE))=TRUE,"DEPT not Found",VLOOKUP($A$1,'Financial Aid'!$A$5:$AN$51,40,FALSE))/1000)</f>
        <v>0</v>
      </c>
    </row>
    <row r="65" spans="1:11" s="105" customFormat="1" ht="7.15" customHeight="1" thickBot="1" x14ac:dyDescent="0.4">
      <c r="A65" s="126"/>
      <c r="B65" s="127"/>
      <c r="C65" s="127"/>
      <c r="D65" s="127"/>
      <c r="E65" s="127"/>
      <c r="F65" s="127"/>
      <c r="G65" s="127"/>
      <c r="H65" s="127"/>
      <c r="I65" s="127"/>
      <c r="J65" s="127"/>
      <c r="K65" s="128"/>
    </row>
    <row r="66" spans="1:11" s="105" customFormat="1" ht="16" thickBot="1" x14ac:dyDescent="0.4"/>
    <row r="67" spans="1:11" s="105" customFormat="1" ht="18.5" x14ac:dyDescent="0.45">
      <c r="A67" s="358" t="s">
        <v>221</v>
      </c>
      <c r="B67" s="359"/>
      <c r="C67" s="359"/>
      <c r="D67" s="359"/>
      <c r="E67" s="359"/>
      <c r="F67" s="359"/>
      <c r="G67" s="359"/>
      <c r="H67" s="359"/>
      <c r="I67" s="359"/>
      <c r="J67" s="359"/>
      <c r="K67" s="360"/>
    </row>
    <row r="68" spans="1:11" s="105" customFormat="1" ht="15.5" x14ac:dyDescent="0.35">
      <c r="A68" s="106"/>
      <c r="B68" s="347" t="str">
        <f>B54</f>
        <v>FY 2017</v>
      </c>
      <c r="C68" s="347"/>
      <c r="D68" s="347" t="str">
        <f>D54</f>
        <v>FY 2018</v>
      </c>
      <c r="E68" s="347"/>
      <c r="F68" s="347" t="str">
        <f>F54</f>
        <v>FY 2019</v>
      </c>
      <c r="G68" s="347"/>
      <c r="H68" s="347" t="str">
        <f>H54</f>
        <v>FY 2020</v>
      </c>
      <c r="I68" s="347"/>
      <c r="J68" s="347" t="str">
        <f>J54</f>
        <v>FY 2021</v>
      </c>
      <c r="K68" s="354"/>
    </row>
    <row r="69" spans="1:11" s="105" customFormat="1" ht="15.5" x14ac:dyDescent="0.35">
      <c r="A69" s="122" t="s">
        <v>219</v>
      </c>
      <c r="B69" s="132"/>
      <c r="C69" s="112"/>
      <c r="D69" s="132"/>
      <c r="E69" s="112"/>
      <c r="F69" s="132"/>
      <c r="G69" s="112"/>
      <c r="H69" s="132"/>
      <c r="I69" s="112"/>
      <c r="J69" s="130"/>
      <c r="K69" s="113"/>
    </row>
    <row r="70" spans="1:11" s="105" customFormat="1" ht="15.5" x14ac:dyDescent="0.35">
      <c r="A70" s="114" t="s">
        <v>220</v>
      </c>
      <c r="B70" s="324">
        <f>(IF(ISNA(VLOOKUP($A$1,'Capital Equipment'!$A$5:$AB$51,2,FALSE))=TRUE,"DEPT not Found",VLOOKUP($A$1,'Capital Equipment'!$A$5:$AB$51,2,FALSE)))</f>
        <v>7</v>
      </c>
      <c r="C70" s="325"/>
      <c r="D70" s="324">
        <f>(IF(ISNA(VLOOKUP($A$1,'Capital Equipment'!$A$5:$AB$51,6,FALSE))=TRUE,"DEPT not Found",VLOOKUP($A$1,'Capital Equipment'!$A$5:$AB$51,6,FALSE)))</f>
        <v>6</v>
      </c>
      <c r="E70" s="325"/>
      <c r="F70" s="324">
        <f>(IF(ISNA(VLOOKUP($A$1,'Capital Equipment'!$A$5:$AB$51,12,FALSE))=TRUE,"DEPT not Found",VLOOKUP($A$1,'Capital Equipment'!$A$5:$AB$51,12,FALSE)))</f>
        <v>6</v>
      </c>
      <c r="G70" s="325"/>
      <c r="H70" s="324">
        <f>(IF(ISNA(VLOOKUP($A$1,'Capital Equipment'!$A$5:$AB$51,18,FALSE))=TRUE,"DEPT not Found",VLOOKUP($A$1,'Capital Equipment'!$A$5:$AB$51,18,FALSE)))</f>
        <v>22</v>
      </c>
      <c r="I70" s="325"/>
      <c r="J70" s="364">
        <f>(IF(ISNA(VLOOKUP($A$1,'Capital Equipment'!$A$5:$AB$51,24,FALSE))=TRUE,"DEPT not Found",VLOOKUP($A$1,'Capital Equipment'!$A$5:$AB$51,24,FALSE)))</f>
        <v>22</v>
      </c>
      <c r="K70" s="365"/>
    </row>
    <row r="71" spans="1:11" s="105" customFormat="1" ht="15.5" x14ac:dyDescent="0.35">
      <c r="A71" s="114" t="s">
        <v>222</v>
      </c>
      <c r="B71" s="324"/>
      <c r="C71" s="229"/>
      <c r="D71" s="111">
        <f>(IF(ISNA(VLOOKUP($A$1,'Capital Equipment'!$A$5:$AB$51,7,FALSE))=TRUE,"DEPT not Found",VLOOKUP($A$1,'Capital Equipment'!$A$5:$AB$51,7,FALSE)))</f>
        <v>6</v>
      </c>
      <c r="E71" s="133">
        <f>(IF(ISNA(VLOOKUP($A$1,'Capital Equipment'!$A$5:$AB$51,8,FALSE))=TRUE,"DEPT not Found",VLOOKUP($A$1,'Capital Equipment'!$A$5:$AB$51,8,FALSE)))</f>
        <v>1</v>
      </c>
      <c r="F71" s="138">
        <f>(IF(ISNA(VLOOKUP($A$1,'Capital Equipment'!$A$5:$AB$51,13,FALSE))=TRUE,"DEPT not Found",VLOOKUP($A$1,'Capital Equipment'!$A$5:$AB$51,13,FALSE)))</f>
        <v>0</v>
      </c>
      <c r="G71" s="133">
        <f>(IF(ISNA(VLOOKUP($A$1,'Capital Equipment'!$A$5:$AB$51,14,FALSE))=TRUE,"DEPT not Found",VLOOKUP($A$1,'Capital Equipment'!$A$5:$AB$51,14,FALSE)))</f>
        <v>0</v>
      </c>
      <c r="H71" s="138">
        <f>(IF(ISNA(VLOOKUP($A$1,'Capital Equipment'!$A$5:$AB$51,19,FALSE))=TRUE,"DEPT not Found",VLOOKUP($A$1,'Capital Equipment'!$A$5:$AB$51,19,FALSE)))</f>
        <v>0</v>
      </c>
      <c r="I71" s="133">
        <f>(IF(ISNA(VLOOKUP($A$1,'Capital Equipment'!$A$5:$AB$51,20,FALSE))=TRUE,"DEPT not Found",VLOOKUP($A$1,'Capital Equipment'!$A$5:$AB$51,20,FALSE)))</f>
        <v>0</v>
      </c>
      <c r="J71" s="111">
        <f>(IF(ISNA(VLOOKUP($A$1,'Capital Equipment'!$A$5:$AB$51,25,FALSE))=TRUE,"DEPT not Found",VLOOKUP($A$1,'Capital Equipment'!$A$5:$AB$51,25,FALSE)))</f>
        <v>0</v>
      </c>
      <c r="K71" s="134">
        <f>(IF(ISNA(VLOOKUP($A$1,'Capital Equipment'!$A$5:$AB$51,26,FALSE))=TRUE,"DEPT not Found",VLOOKUP($A$1,'Capital Equipment'!$A$5:$AB$51,26,FALSE)))</f>
        <v>0</v>
      </c>
    </row>
    <row r="72" spans="1:11" s="105" customFormat="1" ht="7.15" customHeight="1" x14ac:dyDescent="0.35">
      <c r="A72" s="135"/>
      <c r="B72" s="230"/>
      <c r="C72" s="231"/>
      <c r="D72" s="230"/>
      <c r="E72" s="231"/>
      <c r="F72" s="230"/>
      <c r="G72" s="231"/>
      <c r="H72" s="230"/>
      <c r="I72" s="231"/>
      <c r="J72" s="232"/>
      <c r="K72" s="233"/>
    </row>
    <row r="73" spans="1:11" s="105" customFormat="1" ht="15.5" x14ac:dyDescent="0.35">
      <c r="A73" s="122" t="s">
        <v>223</v>
      </c>
      <c r="B73" s="230"/>
      <c r="C73" s="231"/>
      <c r="D73" s="230"/>
      <c r="E73" s="231"/>
      <c r="F73" s="230"/>
      <c r="G73" s="231"/>
      <c r="H73" s="230"/>
      <c r="I73" s="231"/>
      <c r="J73" s="232"/>
      <c r="K73" s="233"/>
    </row>
    <row r="74" spans="1:11" s="105" customFormat="1" ht="15.75" customHeight="1" x14ac:dyDescent="0.35">
      <c r="A74" s="114" t="s">
        <v>224</v>
      </c>
      <c r="B74" s="324">
        <f>(IF(ISNA(VLOOKUP($A$1,'Capital Equipment'!$A$5:$AB$51,3,FALSE))=TRUE,"DEPT not Found",VLOOKUP($A$1,'Capital Equipment'!$A$5:$AB$51,3,FALSE)))</f>
        <v>0</v>
      </c>
      <c r="C74" s="227">
        <f>(IF(ISNA(VLOOKUP($A$1,'Capital Equipment'!$A$5:$AB$51,4,FALSE))=TRUE,"DEPT not Found",VLOOKUP($A$1,'Capital Equipment'!$A$5:$AB$51,4,FALSE)))</f>
        <v>0</v>
      </c>
      <c r="D74" s="329">
        <f>(IF(ISNA(VLOOKUP($A$1,'Capital Equipment'!$A$5:$AB$51,9,FALSE))=TRUE,"DEPT not Found",VLOOKUP($A$1,'Capital Equipment'!$A$5:$AB$51,9,FALSE)))</f>
        <v>0</v>
      </c>
      <c r="E74" s="227">
        <f>(IF(ISNA(VLOOKUP($A$1,'Capital Equipment'!$A$5:$AB$51,10,FALSE))=TRUE,"DEPT not Found",VLOOKUP($A$1,'Capital Equipment'!$A$5:$AB$51,10,FALSE)))</f>
        <v>0</v>
      </c>
      <c r="F74" s="324">
        <f>(IF(ISNA(VLOOKUP($A$1,'Capital Equipment'!$A$5:$AB$51,15,FALSE))=TRUE,"DEPT not Found",VLOOKUP($A$1,'Capital Equipment'!$A$5:$AB$51,15,FALSE)))</f>
        <v>0</v>
      </c>
      <c r="G74" s="227">
        <f>(IF(ISNA(VLOOKUP($A$1,'Capital Equipment'!$A$5:$AB$51,16,FALSE))=TRUE,"DEPT not Found",VLOOKUP($A$1,'Capital Equipment'!$A$5:$AB$51,16,FALSE)))</f>
        <v>0</v>
      </c>
      <c r="H74" s="324">
        <f>(IF(ISNA(VLOOKUP($A$1,'Capital Equipment'!$A$5:$AB$51,21,FALSE))=TRUE,"DEPT not Found",VLOOKUP($A$1,'Capital Equipment'!$A$5:$AB$51,21,FALSE)))</f>
        <v>0</v>
      </c>
      <c r="I74" s="227">
        <f>(IF(ISNA(VLOOKUP($A$1,'Capital Equipment'!$A$5:$AB$51,22,FALSE))=TRUE,"DEPT not Found",VLOOKUP($A$1,'Capital Equipment'!$A$5:$AB$51,22,FALSE)))</f>
        <v>0</v>
      </c>
      <c r="J74" s="226">
        <f>(IF(ISNA(VLOOKUP($A$1,'Capital Equipment'!$A$5:$AB$51,27,FALSE))=TRUE,"DEPT not Found",VLOOKUP($A$1,'Capital Equipment'!$A$5:$AB$51,27,FALSE)))</f>
        <v>0</v>
      </c>
      <c r="K74" s="228">
        <f>(IF(ISNA(VLOOKUP($A$1,'Capital Equipment'!$A$5:$AB$51,28,FALSE))=TRUE,"DEPT not Found",VLOOKUP($A$1,'Capital Equipment'!$A$5:$AB$51,28,FALSE)))</f>
        <v>0</v>
      </c>
    </row>
    <row r="75" spans="1:11" s="105" customFormat="1" ht="7.15" customHeight="1" thickBot="1" x14ac:dyDescent="0.4">
      <c r="A75" s="126"/>
      <c r="B75" s="127"/>
      <c r="C75" s="127"/>
      <c r="D75" s="127"/>
      <c r="E75" s="127"/>
      <c r="F75" s="127"/>
      <c r="G75" s="127"/>
      <c r="H75" s="127"/>
      <c r="I75" s="127"/>
      <c r="J75" s="127"/>
      <c r="K75" s="128"/>
    </row>
    <row r="76" spans="1:11" s="105" customFormat="1" ht="16" thickBot="1" x14ac:dyDescent="0.4"/>
    <row r="77" spans="1:11" s="105" customFormat="1" ht="18.5" x14ac:dyDescent="0.45">
      <c r="A77" s="361" t="s">
        <v>211</v>
      </c>
      <c r="B77" s="362"/>
      <c r="C77" s="362"/>
      <c r="D77" s="362"/>
      <c r="E77" s="362"/>
      <c r="F77" s="362"/>
      <c r="G77" s="362"/>
      <c r="H77" s="362"/>
      <c r="I77" s="362"/>
      <c r="J77" s="362"/>
      <c r="K77" s="363"/>
    </row>
    <row r="78" spans="1:11" s="105" customFormat="1" ht="15.5" x14ac:dyDescent="0.35">
      <c r="A78" s="150"/>
      <c r="B78" s="347" t="str">
        <f>B68</f>
        <v>FY 2017</v>
      </c>
      <c r="C78" s="347"/>
      <c r="D78" s="347" t="str">
        <f>D68</f>
        <v>FY 2018</v>
      </c>
      <c r="E78" s="347"/>
      <c r="F78" s="347" t="str">
        <f>F68</f>
        <v>FY 2019</v>
      </c>
      <c r="G78" s="347"/>
      <c r="H78" s="347" t="str">
        <f>H68</f>
        <v>FY 2020</v>
      </c>
      <c r="I78" s="347"/>
      <c r="J78" s="347" t="str">
        <f>J68</f>
        <v>FY 2021</v>
      </c>
      <c r="K78" s="354"/>
    </row>
    <row r="79" spans="1:11" s="105" customFormat="1" ht="15.5" x14ac:dyDescent="0.35">
      <c r="A79" s="158" t="s">
        <v>200</v>
      </c>
      <c r="B79" s="344" t="str">
        <f>IF(ISNA(VLOOKUP($A$1,'Certification Responses'!$A$5:$BB$51,2,FALSE))=TRUE,"DEPT not Found",VLOOKUP($A$1,'Certification Responses'!$A$5:$BB$51,2,FALSE))</f>
        <v>Y</v>
      </c>
      <c r="C79" s="345">
        <f>(IF(ISNA(VLOOKUP($A$1,'Gift Funds'!$A$5:$T$51,12,FALSE))=TRUE,"DEPT not Found",VLOOKUP($A$1,'Gift Funds'!$A$5:$T$51,12,FALSE))/1000)*-1</f>
        <v>-115.04312</v>
      </c>
      <c r="D79" s="344" t="str">
        <f>IF(ISNA(VLOOKUP($A$1,'Certification Responses'!$A$5:$BB$51,3,FALSE))=TRUE,"DEPT not Found",VLOOKUP($A$1,'Certification Responses'!$A$5:$BB$51,3,FALSE))</f>
        <v>Y</v>
      </c>
      <c r="E79" s="345">
        <f>(IF(ISNA(VLOOKUP($A$1,'Gift Funds'!$A$5:$T$51,12,FALSE))=TRUE,"DEPT not Found",VLOOKUP($A$1,'Gift Funds'!$A$5:$T$51,12,FALSE))/1000)*-1</f>
        <v>-115.04312</v>
      </c>
      <c r="F79" s="344" t="str">
        <f>IF(ISNA(VLOOKUP($A$1,'Certification Responses'!$A$5:$BB$51,4,FALSE))=TRUE,"DEPT not Found",VLOOKUP($A$1,'Certification Responses'!$A$5:$BB$51,4,FALSE))</f>
        <v>Y</v>
      </c>
      <c r="G79" s="345">
        <f>(IF(ISNA(VLOOKUP($A$1,'Gift Funds'!$A$5:$T$51,12,FALSE))=TRUE,"DEPT not Found",VLOOKUP($A$1,'Gift Funds'!$A$5:$T$51,12,FALSE))/1000)*-1</f>
        <v>-115.04312</v>
      </c>
      <c r="H79" s="344" t="str">
        <f>IF(ISNA(VLOOKUP($A$1,'Certification Responses'!$A$5:$BB$51,5,FALSE))=TRUE,"DEPT not Found",VLOOKUP($A$1,'Certification Responses'!$A$5:$BB$51,5,FALSE))</f>
        <v>Y</v>
      </c>
      <c r="I79" s="345">
        <f>(IF(ISNA(VLOOKUP($A$1,'Gift Funds'!$A$5:$T$51,12,FALSE))=TRUE,"DEPT not Found",VLOOKUP($A$1,'Gift Funds'!$A$5:$T$51,12,FALSE))/1000)*-1</f>
        <v>-115.04312</v>
      </c>
      <c r="J79" s="344" t="str">
        <f>IF(ISNA(VLOOKUP($A$1,'Certification Responses'!$A$5:$BB$51,6,FALSE))=TRUE,"DEPT not Found",VLOOKUP($A$1,'Certification Responses'!$A$5:$BB$51,6,FALSE))</f>
        <v>Y</v>
      </c>
      <c r="K79" s="357">
        <f>(IF(ISNA(VLOOKUP($A$1,'Gift Funds'!$A$5:$T$51,12,FALSE))=TRUE,"DEPT not Found",VLOOKUP($A$1,'Gift Funds'!$A$5:$T$51,12,FALSE))/1000)*-1</f>
        <v>-115.04312</v>
      </c>
    </row>
    <row r="80" spans="1:11" s="105" customFormat="1" ht="15.5" x14ac:dyDescent="0.35">
      <c r="A80" s="158" t="s">
        <v>202</v>
      </c>
      <c r="B80" s="344" t="str">
        <f>IF(ISNA(VLOOKUP($A$1,'Certification Responses'!$A$5:$BB$51,8,FALSE))=TRUE,"DEPT not Found",VLOOKUP($A$1,'Certification Responses'!$A$5:$BB$51,8,FALSE))</f>
        <v>*</v>
      </c>
      <c r="C80" s="345">
        <f>(IF(ISNA(VLOOKUP($A$1,'Gift Funds'!$A$5:$T$51,12,FALSE))=TRUE,"DEPT not Found",VLOOKUP($A$1,'Gift Funds'!$A$5:$T$51,12,FALSE))/1000)*-1</f>
        <v>-115.04312</v>
      </c>
      <c r="D80" s="344" t="str">
        <f>IF(ISNA(VLOOKUP($A$1,'Certification Responses'!$A$5:$BB$51,9,FALSE))=TRUE,"DEPT not Found",VLOOKUP($A$1,'Certification Responses'!$A$5:$BB$51,9,FALSE))</f>
        <v>Y</v>
      </c>
      <c r="E80" s="345">
        <f>(IF(ISNA(VLOOKUP($A$1,'Gift Funds'!$A$5:$T$51,12,FALSE))=TRUE,"DEPT not Found",VLOOKUP($A$1,'Gift Funds'!$A$5:$T$51,12,FALSE))/1000)*-1</f>
        <v>-115.04312</v>
      </c>
      <c r="F80" s="344" t="str">
        <f>IF(ISNA(VLOOKUP($A$1,'Certification Responses'!$A$5:$BB$51,10,FALSE))=TRUE,"DEPT not Found",VLOOKUP($A$1,'Certification Responses'!$A$5:$BB$51,10,FALSE))</f>
        <v>*</v>
      </c>
      <c r="G80" s="345">
        <f>(IF(ISNA(VLOOKUP($A$1,'Gift Funds'!$A$5:$T$51,12,FALSE))=TRUE,"DEPT not Found",VLOOKUP($A$1,'Gift Funds'!$A$5:$T$51,12,FALSE))/1000)*-1</f>
        <v>-115.04312</v>
      </c>
      <c r="H80" s="344" t="str">
        <f>IF(ISNA(VLOOKUP($A$1,'Certification Responses'!$A$5:$BB$51,11,FALSE))=TRUE,"DEPT not Found",VLOOKUP($A$1,'Certification Responses'!$A$5:$BB$51,11,FALSE))</f>
        <v>*</v>
      </c>
      <c r="I80" s="345">
        <f>(IF(ISNA(VLOOKUP($A$1,'Gift Funds'!$A$5:$T$51,12,FALSE))=TRUE,"DEPT not Found",VLOOKUP($A$1,'Gift Funds'!$A$5:$T$51,12,FALSE))/1000)*-1</f>
        <v>-115.04312</v>
      </c>
      <c r="J80" s="344" t="str">
        <f>IF(ISNA(VLOOKUP($A$1,'Certification Responses'!$A$5:$BH$51,12,FALSE))=TRUE,"DEPT not Found",VLOOKUP($A$1,'Certification Responses'!$A$5:$BH$51,12,FALSE))</f>
        <v>*</v>
      </c>
      <c r="K80" s="357">
        <f>(IF(ISNA(VLOOKUP($A$1,'Gift Funds'!$A$5:$T$51,12,FALSE))=TRUE,"DEPT not Found",VLOOKUP($A$1,'Gift Funds'!$A$5:$T$51,12,FALSE))/1000)*-1</f>
        <v>-115.04312</v>
      </c>
    </row>
    <row r="81" spans="1:11" s="105" customFormat="1" ht="15.5" x14ac:dyDescent="0.35">
      <c r="A81" s="158" t="s">
        <v>203</v>
      </c>
      <c r="B81" s="344" t="str">
        <f>IF(ISNA(VLOOKUP($A$1,'Certification Responses'!$A$5:$BB$51,14,FALSE))=TRUE,"DEPT not Found",VLOOKUP($A$1,'Certification Responses'!$A$5:$BB$51,14,FALSE))</f>
        <v>Y</v>
      </c>
      <c r="C81" s="345">
        <f>(IF(ISNA(VLOOKUP($A$1,'Gift Funds'!$A$5:$T$51,12,FALSE))=TRUE,"DEPT not Found",VLOOKUP($A$1,'Gift Funds'!$A$5:$T$51,12,FALSE))/1000)*-1</f>
        <v>-115.04312</v>
      </c>
      <c r="D81" s="344" t="str">
        <f>IF(ISNA(VLOOKUP($A$1,'Certification Responses'!$A$5:$BB$51,15,FALSE))=TRUE,"DEPT not Found",VLOOKUP($A$1,'Certification Responses'!$A$5:$BB$51,15,FALSE))</f>
        <v>*</v>
      </c>
      <c r="E81" s="345">
        <f>(IF(ISNA(VLOOKUP($A$1,'Gift Funds'!$A$5:$T$51,12,FALSE))=TRUE,"DEPT not Found",VLOOKUP($A$1,'Gift Funds'!$A$5:$T$51,12,FALSE))/1000)*-1</f>
        <v>-115.04312</v>
      </c>
      <c r="F81" s="344" t="str">
        <f>IF(ISNA(VLOOKUP($A$1,'Certification Responses'!$A$5:$BB$51,16,FALSE))=TRUE,"DEPT not Found",VLOOKUP($A$1,'Certification Responses'!$A$5:$BB$51,16,FALSE))</f>
        <v>Y</v>
      </c>
      <c r="G81" s="345">
        <f>(IF(ISNA(VLOOKUP($A$1,'Gift Funds'!$A$5:$T$51,12,FALSE))=TRUE,"DEPT not Found",VLOOKUP($A$1,'Gift Funds'!$A$5:$T$51,12,FALSE))/1000)*-1</f>
        <v>-115.04312</v>
      </c>
      <c r="H81" s="344" t="str">
        <f>IF(ISNA(VLOOKUP($A$1,'Certification Responses'!$A$5:$BB$51,17,FALSE))=TRUE,"DEPT not Found",VLOOKUP($A$1,'Certification Responses'!$A$5:$BB$51,17,FALSE))</f>
        <v>*</v>
      </c>
      <c r="I81" s="345">
        <f>(IF(ISNA(VLOOKUP($A$1,'Gift Funds'!$A$5:$T$51,12,FALSE))=TRUE,"DEPT not Found",VLOOKUP($A$1,'Gift Funds'!$A$5:$T$51,12,FALSE))/1000)*-1</f>
        <v>-115.04312</v>
      </c>
      <c r="J81" s="344" t="str">
        <f>IF(ISNA(VLOOKUP($A$1,'Certification Responses'!$A$5:$BH$51,18,FALSE))=TRUE,"DEPT not Found",VLOOKUP($A$1,'Certification Responses'!$A$5:$BH$51,18,FALSE))</f>
        <v>*</v>
      </c>
      <c r="K81" s="357">
        <f>(IF(ISNA(VLOOKUP($A$1,'Gift Funds'!$A$5:$T$51,12,FALSE))=TRUE,"DEPT not Found",VLOOKUP($A$1,'Gift Funds'!$A$5:$T$51,12,FALSE))/1000)*-1</f>
        <v>-115.04312</v>
      </c>
    </row>
    <row r="82" spans="1:11" s="105" customFormat="1" ht="15.5" x14ac:dyDescent="0.35">
      <c r="A82" s="158" t="s">
        <v>205</v>
      </c>
      <c r="B82" s="344" t="str">
        <f>IF(ISNA(VLOOKUP($A$1,'Certification Responses'!$A$5:$BB$51,20,FALSE))=TRUE,"DEPT not Found",VLOOKUP($A$1,'Certification Responses'!$A$5:$BB$51,20,FALSE))</f>
        <v>Y</v>
      </c>
      <c r="C82" s="345">
        <f>(IF(ISNA(VLOOKUP($A$1,'Gift Funds'!$A$5:$T$51,12,FALSE))=TRUE,"DEPT not Found",VLOOKUP($A$1,'Gift Funds'!$A$5:$T$51,12,FALSE))/1000)*-1</f>
        <v>-115.04312</v>
      </c>
      <c r="D82" s="344" t="str">
        <f>IF(ISNA(VLOOKUP($A$1,'Certification Responses'!$A$5:$BB$51,21,FALSE))=TRUE,"DEPT not Found",VLOOKUP($A$1,'Certification Responses'!$A$5:$BB$51,21,FALSE))</f>
        <v>Y</v>
      </c>
      <c r="E82" s="345">
        <f>(IF(ISNA(VLOOKUP($A$1,'Gift Funds'!$A$5:$T$51,12,FALSE))=TRUE,"DEPT not Found",VLOOKUP($A$1,'Gift Funds'!$A$5:$T$51,12,FALSE))/1000)*-1</f>
        <v>-115.04312</v>
      </c>
      <c r="F82" s="344" t="str">
        <f>IF(ISNA(VLOOKUP($A$1,'Certification Responses'!$A$5:$BB$51,22,FALSE))=TRUE,"DEPT not Found",VLOOKUP($A$1,'Certification Responses'!$A$5:$BB$51,22,FALSE))</f>
        <v>Y</v>
      </c>
      <c r="G82" s="345">
        <f>(IF(ISNA(VLOOKUP($A$1,'Gift Funds'!$A$5:$T$51,12,FALSE))=TRUE,"DEPT not Found",VLOOKUP($A$1,'Gift Funds'!$A$5:$T$51,12,FALSE))/1000)*-1</f>
        <v>-115.04312</v>
      </c>
      <c r="H82" s="344" t="str">
        <f>IF(ISNA(VLOOKUP($A$1,'Certification Responses'!$A$5:$BB$51,23,FALSE))=TRUE,"DEPT not Found",VLOOKUP($A$1,'Certification Responses'!$A$5:$BB$51,23,FALSE))</f>
        <v>*</v>
      </c>
      <c r="I82" s="345">
        <f>(IF(ISNA(VLOOKUP($A$1,'Gift Funds'!$A$5:$T$51,12,FALSE))=TRUE,"DEPT not Found",VLOOKUP($A$1,'Gift Funds'!$A$5:$T$51,12,FALSE))/1000)*-1</f>
        <v>-115.04312</v>
      </c>
      <c r="J82" s="344" t="str">
        <f>IF(ISNA(VLOOKUP($A$1,'Certification Responses'!$A$5:$BH$51,24,FALSE))=TRUE,"DEPT not Found",VLOOKUP($A$1,'Certification Responses'!$A$5:$BH$51,24,FALSE))</f>
        <v>Y</v>
      </c>
      <c r="K82" s="357">
        <f>(IF(ISNA(VLOOKUP($A$1,'Gift Funds'!$A$5:$T$51,12,FALSE))=TRUE,"DEPT not Found",VLOOKUP($A$1,'Gift Funds'!$A$5:$T$51,12,FALSE))/1000)*-1</f>
        <v>-115.04312</v>
      </c>
    </row>
    <row r="83" spans="1:11" s="105" customFormat="1" ht="15.5" x14ac:dyDescent="0.35">
      <c r="A83" s="158" t="s">
        <v>204</v>
      </c>
      <c r="B83" s="344" t="str">
        <f>IF(ISNA(VLOOKUP($A$1,'Certification Responses'!$A$5:$BB$51,26,FALSE))=TRUE,"DEPT not Found",VLOOKUP($A$1,'Certification Responses'!$A$5:$BB$51,26,FALSE))</f>
        <v>*</v>
      </c>
      <c r="C83" s="345">
        <f>(IF(ISNA(VLOOKUP($A$1,'Gift Funds'!$A$5:$T$51,12,FALSE))=TRUE,"DEPT not Found",VLOOKUP($A$1,'Gift Funds'!$A$5:$T$51,12,FALSE))/1000)*-1</f>
        <v>-115.04312</v>
      </c>
      <c r="D83" s="344" t="str">
        <f>IF(ISNA(VLOOKUP($A$1,'Certification Responses'!$A$5:$BB$51,27,FALSE))=TRUE,"DEPT not Found",VLOOKUP($A$1,'Certification Responses'!$A$5:$BB$51,27,FALSE))</f>
        <v>Y</v>
      </c>
      <c r="E83" s="345">
        <f>(IF(ISNA(VLOOKUP($A$1,'Gift Funds'!$A$5:$T$51,12,FALSE))=TRUE,"DEPT not Found",VLOOKUP($A$1,'Gift Funds'!$A$5:$T$51,12,FALSE))/1000)*-1</f>
        <v>-115.04312</v>
      </c>
      <c r="F83" s="344" t="str">
        <f>IF(ISNA(VLOOKUP($A$1,'Certification Responses'!$A$5:$BB$51,28,FALSE))=TRUE,"DEPT not Found",VLOOKUP($A$1,'Certification Responses'!$A$5:$BB$51,28,FALSE))</f>
        <v>*</v>
      </c>
      <c r="G83" s="345">
        <f>(IF(ISNA(VLOOKUP($A$1,'Gift Funds'!$A$5:$T$51,12,FALSE))=TRUE,"DEPT not Found",VLOOKUP($A$1,'Gift Funds'!$A$5:$T$51,12,FALSE))/1000)*-1</f>
        <v>-115.04312</v>
      </c>
      <c r="H83" s="344" t="str">
        <f>IF(ISNA(VLOOKUP($A$1,'Certification Responses'!$A$5:$BB$51,29,FALSE))=TRUE,"DEPT not Found",VLOOKUP($A$1,'Certification Responses'!$A$5:$BB$51,29,FALSE))</f>
        <v>*</v>
      </c>
      <c r="I83" s="345">
        <f>(IF(ISNA(VLOOKUP($A$1,'Gift Funds'!$A$5:$T$51,12,FALSE))=TRUE,"DEPT not Found",VLOOKUP($A$1,'Gift Funds'!$A$5:$T$51,12,FALSE))/1000)*-1</f>
        <v>-115.04312</v>
      </c>
      <c r="J83" s="344" t="str">
        <f>IF(ISNA(VLOOKUP($A$1,'Certification Responses'!$A$5:$BH$51,30,FALSE))=TRUE,"DEPT not Found",VLOOKUP($A$1,'Certification Responses'!$A$5:$BH$51,30,FALSE))</f>
        <v>*</v>
      </c>
      <c r="K83" s="357">
        <f>(IF(ISNA(VLOOKUP($A$1,'Gift Funds'!$A$5:$T$51,12,FALSE))=TRUE,"DEPT not Found",VLOOKUP($A$1,'Gift Funds'!$A$5:$T$51,12,FALSE))/1000)*-1</f>
        <v>-115.04312</v>
      </c>
    </row>
    <row r="84" spans="1:11" s="105" customFormat="1" ht="15.5" x14ac:dyDescent="0.35">
      <c r="A84" s="158" t="s">
        <v>206</v>
      </c>
      <c r="B84" s="344" t="str">
        <f>IF(ISNA(VLOOKUP($A$1,'Certification Responses'!$A$5:$BB$51,32,FALSE))=TRUE,"DEPT not Found",VLOOKUP($A$1,'Certification Responses'!$A$5:$BB$51,32,FALSE))</f>
        <v>Y</v>
      </c>
      <c r="C84" s="345">
        <f>(IF(ISNA(VLOOKUP($A$1,'Gift Funds'!$A$5:$T$51,12,FALSE))=TRUE,"DEPT not Found",VLOOKUP($A$1,'Gift Funds'!$A$5:$T$51,12,FALSE))/1000)*-1</f>
        <v>-115.04312</v>
      </c>
      <c r="D84" s="344" t="str">
        <f>IF(ISNA(VLOOKUP($A$1,'Certification Responses'!$A$5:$BB$51,33,FALSE))=TRUE,"DEPT not Found",VLOOKUP($A$1,'Certification Responses'!$A$5:$BB$51,33,FALSE))</f>
        <v>*</v>
      </c>
      <c r="E84" s="345">
        <f>(IF(ISNA(VLOOKUP($A$1,'Gift Funds'!$A$5:$T$51,12,FALSE))=TRUE,"DEPT not Found",VLOOKUP($A$1,'Gift Funds'!$A$5:$T$51,12,FALSE))/1000)*-1</f>
        <v>-115.04312</v>
      </c>
      <c r="F84" s="344" t="str">
        <f>IF(ISNA(VLOOKUP($A$1,'Certification Responses'!$A$5:$BB$51,34,FALSE))=TRUE,"DEPT not Found",VLOOKUP($A$1,'Certification Responses'!$A$5:$BB$51,34,FALSE))</f>
        <v>Y</v>
      </c>
      <c r="G84" s="345">
        <f>(IF(ISNA(VLOOKUP($A$1,'Gift Funds'!$A$5:$T$51,12,FALSE))=TRUE,"DEPT not Found",VLOOKUP($A$1,'Gift Funds'!$A$5:$T$51,12,FALSE))/1000)*-1</f>
        <v>-115.04312</v>
      </c>
      <c r="H84" s="344" t="str">
        <f>IF(ISNA(VLOOKUP($A$1,'Certification Responses'!$A$5:$BB$51,35,FALSE))=TRUE,"DEPT not Found",VLOOKUP($A$1,'Certification Responses'!$A$5:$BB$51,35,FALSE))</f>
        <v>*</v>
      </c>
      <c r="I84" s="345">
        <f>(IF(ISNA(VLOOKUP($A$1,'Gift Funds'!$A$5:$T$51,12,FALSE))=TRUE,"DEPT not Found",VLOOKUP($A$1,'Gift Funds'!$A$5:$T$51,12,FALSE))/1000)*-1</f>
        <v>-115.04312</v>
      </c>
      <c r="J84" s="344" t="str">
        <f>IF(ISNA(VLOOKUP($A$1,'Certification Responses'!$A$5:$BH$51,36,FALSE))=TRUE,"DEPT not Found",VLOOKUP($A$1,'Certification Responses'!$A$5:$BH$51,36,FALSE))</f>
        <v>*</v>
      </c>
      <c r="K84" s="357">
        <f>(IF(ISNA(VLOOKUP($A$1,'Gift Funds'!$A$5:$T$51,12,FALSE))=TRUE,"DEPT not Found",VLOOKUP($A$1,'Gift Funds'!$A$5:$T$51,12,FALSE))/1000)*-1</f>
        <v>-115.04312</v>
      </c>
    </row>
    <row r="85" spans="1:11" s="105" customFormat="1" ht="15.5" x14ac:dyDescent="0.35">
      <c r="A85" s="158" t="s">
        <v>212</v>
      </c>
      <c r="B85" s="344" t="str">
        <f>IF(ISNA(VLOOKUP($A$1,'Certification Responses'!$A$5:$BB$51,38,FALSE))=TRUE,"DEPT not Found",VLOOKUP($A$1,'Certification Responses'!$A$5:$BB$51,38,FALSE))</f>
        <v>Y</v>
      </c>
      <c r="C85" s="345">
        <f>(IF(ISNA(VLOOKUP($A$1,'Gift Funds'!$A$5:$T$51,12,FALSE))=TRUE,"DEPT not Found",VLOOKUP($A$1,'Gift Funds'!$A$5:$T$51,12,FALSE))/1000)*-1</f>
        <v>-115.04312</v>
      </c>
      <c r="D85" s="344" t="str">
        <f>IF(ISNA(VLOOKUP($A$1,'Certification Responses'!$A$5:$BB$51,39,FALSE))=TRUE,"DEPT not Found",VLOOKUP($A$1,'Certification Responses'!$A$5:$BB$51,39,FALSE))</f>
        <v>*</v>
      </c>
      <c r="E85" s="345">
        <f>(IF(ISNA(VLOOKUP($A$1,'Gift Funds'!$A$5:$T$51,12,FALSE))=TRUE,"DEPT not Found",VLOOKUP($A$1,'Gift Funds'!$A$5:$T$51,12,FALSE))/1000)*-1</f>
        <v>-115.04312</v>
      </c>
      <c r="F85" s="344" t="str">
        <f>IF(ISNA(VLOOKUP($A$1,'Certification Responses'!$A$5:$BB$51,40,FALSE))=TRUE,"DEPT not Found",VLOOKUP($A$1,'Certification Responses'!$A$5:$BB$51,40,FALSE))</f>
        <v>Y</v>
      </c>
      <c r="G85" s="345">
        <f>(IF(ISNA(VLOOKUP($A$1,'Gift Funds'!$A$5:$T$51,12,FALSE))=TRUE,"DEPT not Found",VLOOKUP($A$1,'Gift Funds'!$A$5:$T$51,12,FALSE))/1000)*-1</f>
        <v>-115.04312</v>
      </c>
      <c r="H85" s="344" t="str">
        <f>IF(ISNA(VLOOKUP($A$1,'Certification Responses'!$A$5:$BB$51,41,FALSE))=TRUE,"DEPT not Found",VLOOKUP($A$1,'Certification Responses'!$A$5:$BB$51,41,FALSE))</f>
        <v>*</v>
      </c>
      <c r="I85" s="345">
        <f>(IF(ISNA(VLOOKUP($A$1,'Gift Funds'!$A$5:$T$51,12,FALSE))=TRUE,"DEPT not Found",VLOOKUP($A$1,'Gift Funds'!$A$5:$T$51,12,FALSE))/1000)*-1</f>
        <v>-115.04312</v>
      </c>
      <c r="J85" s="344" t="str">
        <f>IF(ISNA(VLOOKUP($A$1,'Certification Responses'!$A$5:$BH$51,42,FALSE))=TRUE,"DEPT not Found",VLOOKUP($A$1,'Certification Responses'!$A$5:$BH$51,42,FALSE))</f>
        <v>*</v>
      </c>
      <c r="K85" s="357">
        <f>(IF(ISNA(VLOOKUP($A$1,'Gift Funds'!$A$5:$T$51,12,FALSE))=TRUE,"DEPT not Found",VLOOKUP($A$1,'Gift Funds'!$A$5:$T$51,12,FALSE))/1000)*-1</f>
        <v>-115.04312</v>
      </c>
    </row>
    <row r="86" spans="1:11" s="105" customFormat="1" ht="15.5" x14ac:dyDescent="0.35">
      <c r="A86" s="158" t="s">
        <v>213</v>
      </c>
      <c r="B86" s="344" t="str">
        <f>IF(ISNA(VLOOKUP($A$1,'Certification Responses'!$A$5:$BB$51,44,FALSE))=TRUE,"DEPT not Found",VLOOKUP($A$1,'Certification Responses'!$A$5:$BB$51,44,FALSE))</f>
        <v>*</v>
      </c>
      <c r="C86" s="345">
        <f>(IF(ISNA(VLOOKUP($A$1,'Gift Funds'!$A$5:$T$51,12,FALSE))=TRUE,"DEPT not Found",VLOOKUP($A$1,'Gift Funds'!$A$5:$T$51,12,FALSE))/1000)*-1</f>
        <v>-115.04312</v>
      </c>
      <c r="D86" s="344" t="str">
        <f>IF(ISNA(VLOOKUP($A$1,'Certification Responses'!$A$5:$BB$51,45,FALSE))=TRUE,"DEPT not Found",VLOOKUP($A$1,'Certification Responses'!$A$5:$BB$51,45,FALSE))</f>
        <v>Y</v>
      </c>
      <c r="E86" s="345">
        <f>(IF(ISNA(VLOOKUP($A$1,'Gift Funds'!$A$5:$T$51,12,FALSE))=TRUE,"DEPT not Found",VLOOKUP($A$1,'Gift Funds'!$A$5:$T$51,12,FALSE))/1000)*-1</f>
        <v>-115.04312</v>
      </c>
      <c r="F86" s="344" t="str">
        <f>IF(ISNA(VLOOKUP($A$1,'Certification Responses'!$A$5:$BB$51,46,FALSE))=TRUE,"DEPT not Found",VLOOKUP($A$1,'Certification Responses'!$A$5:$BB$51,46,FALSE))</f>
        <v>*</v>
      </c>
      <c r="G86" s="345">
        <f>(IF(ISNA(VLOOKUP($A$1,'Gift Funds'!$A$5:$T$51,12,FALSE))=TRUE,"DEPT not Found",VLOOKUP($A$1,'Gift Funds'!$A$5:$T$51,12,FALSE))/1000)*-1</f>
        <v>-115.04312</v>
      </c>
      <c r="H86" s="344" t="str">
        <f>IF(ISNA(VLOOKUP($A$1,'Certification Responses'!$A$5:$BB$51,47,FALSE))=TRUE,"DEPT not Found",VLOOKUP($A$1,'Certification Responses'!$A$5:$BB$51,47,FALSE))</f>
        <v>*</v>
      </c>
      <c r="I86" s="345">
        <f>(IF(ISNA(VLOOKUP($A$1,'Gift Funds'!$A$5:$T$51,12,FALSE))=TRUE,"DEPT not Found",VLOOKUP($A$1,'Gift Funds'!$A$5:$T$51,12,FALSE))/1000)*-1</f>
        <v>-115.04312</v>
      </c>
      <c r="J86" s="344" t="str">
        <f>IF(ISNA(VLOOKUP($A$1,'Certification Responses'!$A$5:$BH$51,48,FALSE))=TRUE,"DEPT not Found",VLOOKUP($A$1,'Certification Responses'!$A$5:$BH$51,48,FALSE))</f>
        <v>Y</v>
      </c>
      <c r="K86" s="357">
        <f>(IF(ISNA(VLOOKUP($A$1,'Gift Funds'!$A$5:$T$51,12,FALSE))=TRUE,"DEPT not Found",VLOOKUP($A$1,'Gift Funds'!$A$5:$T$51,12,FALSE))/1000)*-1</f>
        <v>-115.04312</v>
      </c>
    </row>
    <row r="87" spans="1:11" s="105" customFormat="1" ht="15.5" x14ac:dyDescent="0.35">
      <c r="A87" s="158" t="s">
        <v>209</v>
      </c>
      <c r="B87" s="344" t="str">
        <f>IF(ISNA(VLOOKUP($A$1,'Certification Responses'!$A$5:$BB$51,50,FALSE))=TRUE,"DEPT not Found",VLOOKUP($A$1,'Certification Responses'!$A$5:$BB$51,50,FALSE))</f>
        <v>Y</v>
      </c>
      <c r="C87" s="345">
        <f>(IF(ISNA(VLOOKUP($A$1,'Gift Funds'!$A$5:$T$51,12,FALSE))=TRUE,"DEPT not Found",VLOOKUP($A$1,'Gift Funds'!$A$5:$T$51,12,FALSE))/1000)*-1</f>
        <v>-115.04312</v>
      </c>
      <c r="D87" s="344" t="str">
        <f>IF(ISNA(VLOOKUP($A$1,'Certification Responses'!$A$5:$BB$51,51,FALSE))=TRUE,"DEPT not Found",VLOOKUP($A$1,'Certification Responses'!$A$5:$BB$51,51,FALSE))</f>
        <v>*</v>
      </c>
      <c r="E87" s="345">
        <f>(IF(ISNA(VLOOKUP($A$1,'Gift Funds'!$A$5:$T$51,12,FALSE))=TRUE,"DEPT not Found",VLOOKUP($A$1,'Gift Funds'!$A$5:$T$51,12,FALSE))/1000)*-1</f>
        <v>-115.04312</v>
      </c>
      <c r="F87" s="344" t="str">
        <f>IF(ISNA(VLOOKUP($A$1,'Certification Responses'!$A$5:$BB$51,52,FALSE))=TRUE,"DEPT not Found",VLOOKUP($A$1,'Certification Responses'!$A$5:$BB$51,52,FALSE))</f>
        <v>Y</v>
      </c>
      <c r="G87" s="345">
        <f>(IF(ISNA(VLOOKUP($A$1,'Gift Funds'!$A$5:$T$51,12,FALSE))=TRUE,"DEPT not Found",VLOOKUP($A$1,'Gift Funds'!$A$5:$T$51,12,FALSE))/1000)*-1</f>
        <v>-115.04312</v>
      </c>
      <c r="H87" s="344" t="str">
        <f>IF(ISNA(VLOOKUP($A$1,'Certification Responses'!$A$5:$BB$51,53,FALSE))=TRUE,"DEPT not Found",VLOOKUP($A$1,'Certification Responses'!$A$5:$BB$51,53,FALSE))</f>
        <v>*</v>
      </c>
      <c r="I87" s="345">
        <f>(IF(ISNA(VLOOKUP($A$1,'Gift Funds'!$A$5:$T$51,12,FALSE))=TRUE,"DEPT not Found",VLOOKUP($A$1,'Gift Funds'!$A$5:$T$51,12,FALSE))/1000)*-1</f>
        <v>-115.04312</v>
      </c>
      <c r="J87" s="344" t="str">
        <f>IF(ISNA(VLOOKUP($A$1,'Certification Responses'!$A$5:$BH$51,54,FALSE))=TRUE,"DEPT not Found",VLOOKUP($A$1,'Certification Responses'!$A$5:$BH$51,54,FALSE))</f>
        <v>*</v>
      </c>
      <c r="K87" s="357">
        <f>(IF(ISNA(VLOOKUP($A$1,'Gift Funds'!$A$5:$T$51,12,FALSE))=TRUE,"DEPT not Found",VLOOKUP($A$1,'Gift Funds'!$A$5:$T$51,12,FALSE))/1000)*-1</f>
        <v>-115.04312</v>
      </c>
    </row>
    <row r="88" spans="1:11" s="105" customFormat="1" ht="15.5" x14ac:dyDescent="0.35">
      <c r="A88" s="158" t="s">
        <v>214</v>
      </c>
      <c r="B88" s="344"/>
      <c r="C88" s="345"/>
      <c r="D88" s="344"/>
      <c r="E88" s="345"/>
      <c r="F88" s="344" t="str">
        <f>IF(ISNA(VLOOKUP($A$1,'Certification Responses'!$A$5:$BH$51,58,FALSE))=TRUE,"DEPT not Found",VLOOKUP($A$1,'Certification Responses'!$A$5:$BH$51,58,FALSE))</f>
        <v>Y</v>
      </c>
      <c r="G88" s="345">
        <f>(IF(ISNA(VLOOKUP($A$1,'Gift Funds'!$A$5:$T$51,12,FALSE))=TRUE,"DEPT not Found",VLOOKUP($A$1,'Gift Funds'!$A$5:$T$51,12,FALSE))/1000)*-1</f>
        <v>-115.04312</v>
      </c>
      <c r="H88" s="344" t="str">
        <f>IF(ISNA(VLOOKUP($A$1,'Certification Responses'!$A$5:$BH$51,59,FALSE))=TRUE,"DEPT not Found",VLOOKUP($A$1,'Certification Responses'!$A$5:$BH$51,59,FALSE))</f>
        <v>*</v>
      </c>
      <c r="I88" s="345">
        <f>(IF(ISNA(VLOOKUP($A$1,'Gift Funds'!$A$5:$T$51,12,FALSE))=TRUE,"DEPT not Found",VLOOKUP($A$1,'Gift Funds'!$A$5:$T$51,12,FALSE))/1000)*-1</f>
        <v>-115.04312</v>
      </c>
      <c r="J88" s="344" t="str">
        <f>IF(ISNA(VLOOKUP($A$1,'Certification Responses'!$A$5:$BH$51,60,FALSE))=TRUE,"DEPT not Found",VLOOKUP($A$1,'Certification Responses'!$A$5:$BH$51,60,FALSE))</f>
        <v>Y</v>
      </c>
      <c r="K88" s="357">
        <f>(IF(ISNA(VLOOKUP($A$1,'Gift Funds'!$A$5:$T$51,12,FALSE))=TRUE,"DEPT not Found",VLOOKUP($A$1,'Gift Funds'!$A$5:$T$51,12,FALSE))/1000)*-1</f>
        <v>-115.04312</v>
      </c>
    </row>
    <row r="89" spans="1:11" s="105" customFormat="1" ht="7.15" customHeight="1" thickBot="1" x14ac:dyDescent="0.4">
      <c r="A89" s="126"/>
      <c r="B89" s="127"/>
      <c r="C89" s="127"/>
      <c r="D89" s="127"/>
      <c r="E89" s="127"/>
      <c r="F89" s="127"/>
      <c r="G89" s="127"/>
      <c r="H89" s="127"/>
      <c r="I89" s="127"/>
      <c r="J89" s="127"/>
      <c r="K89" s="128"/>
    </row>
    <row r="90" spans="1:11" s="105" customFormat="1" ht="15.5" x14ac:dyDescent="0.35">
      <c r="A90" s="105" t="s">
        <v>299</v>
      </c>
    </row>
    <row r="91" spans="1:11" s="105" customFormat="1" ht="5.25" customHeight="1" x14ac:dyDescent="0.35"/>
    <row r="92" spans="1:11" s="171" customFormat="1" ht="15" customHeight="1" x14ac:dyDescent="0.35">
      <c r="A92" s="266" t="s">
        <v>337</v>
      </c>
      <c r="B92" s="237"/>
      <c r="C92" s="237"/>
      <c r="E92" s="237"/>
      <c r="F92" s="237"/>
      <c r="G92" s="237"/>
      <c r="H92" s="237"/>
      <c r="J92" s="237"/>
    </row>
    <row r="93" spans="1:11" s="171" customFormat="1" ht="15" hidden="1" customHeight="1" x14ac:dyDescent="0.35">
      <c r="A93" s="267" t="s">
        <v>340</v>
      </c>
      <c r="B93" s="237"/>
      <c r="C93" s="237"/>
      <c r="E93" s="237"/>
      <c r="F93" s="237"/>
      <c r="G93" s="237"/>
      <c r="H93" s="237"/>
      <c r="J93" s="237"/>
    </row>
    <row r="94" spans="1:11" s="171" customFormat="1" ht="15" hidden="1" customHeight="1" x14ac:dyDescent="0.35">
      <c r="A94" s="267" t="s">
        <v>338</v>
      </c>
      <c r="B94" s="237"/>
      <c r="C94" s="237"/>
      <c r="E94" s="237"/>
      <c r="F94" s="237"/>
      <c r="G94" s="237"/>
      <c r="H94" s="237"/>
      <c r="J94" s="237"/>
    </row>
    <row r="95" spans="1:11" s="171" customFormat="1" ht="15" customHeight="1" x14ac:dyDescent="0.35">
      <c r="A95" s="267" t="s">
        <v>341</v>
      </c>
      <c r="B95" s="237"/>
      <c r="C95" s="237"/>
      <c r="E95" s="237"/>
      <c r="F95" s="237"/>
      <c r="G95" s="237"/>
      <c r="H95" s="237"/>
      <c r="J95" s="237"/>
    </row>
    <row r="96" spans="1:11" s="171" customFormat="1" ht="15" customHeight="1" x14ac:dyDescent="0.35">
      <c r="A96" s="267" t="s">
        <v>339</v>
      </c>
      <c r="B96" s="237"/>
      <c r="C96" s="237"/>
      <c r="E96" s="237"/>
      <c r="F96" s="237"/>
      <c r="G96" s="237"/>
      <c r="H96" s="237"/>
      <c r="J96" s="237"/>
    </row>
  </sheetData>
  <mergeCells count="116">
    <mergeCell ref="J83:K83"/>
    <mergeCell ref="J84:K84"/>
    <mergeCell ref="J85:K85"/>
    <mergeCell ref="J86:K86"/>
    <mergeCell ref="J87:K87"/>
    <mergeCell ref="J88:K88"/>
    <mergeCell ref="A4:K4"/>
    <mergeCell ref="A21:K21"/>
    <mergeCell ref="A38:K38"/>
    <mergeCell ref="A53:K53"/>
    <mergeCell ref="A59:K59"/>
    <mergeCell ref="A67:K67"/>
    <mergeCell ref="A77:K77"/>
    <mergeCell ref="J68:K68"/>
    <mergeCell ref="J70:K70"/>
    <mergeCell ref="J78:K78"/>
    <mergeCell ref="J79:K79"/>
    <mergeCell ref="J80:K80"/>
    <mergeCell ref="J81:K81"/>
    <mergeCell ref="J82:K82"/>
    <mergeCell ref="J5:K5"/>
    <mergeCell ref="J7:K7"/>
    <mergeCell ref="J12:K12"/>
    <mergeCell ref="J22:K22"/>
    <mergeCell ref="J39:K39"/>
    <mergeCell ref="J40:K40"/>
    <mergeCell ref="J54:K54"/>
    <mergeCell ref="J55:K55"/>
    <mergeCell ref="J60:K60"/>
    <mergeCell ref="B88:C88"/>
    <mergeCell ref="D88:E88"/>
    <mergeCell ref="F88:G88"/>
    <mergeCell ref="H88:I88"/>
    <mergeCell ref="B39:C39"/>
    <mergeCell ref="H39:I39"/>
    <mergeCell ref="B78:C78"/>
    <mergeCell ref="D78:E78"/>
    <mergeCell ref="F78:G78"/>
    <mergeCell ref="H78:I78"/>
    <mergeCell ref="B60:C60"/>
    <mergeCell ref="H60:I60"/>
    <mergeCell ref="B61:C61"/>
    <mergeCell ref="B54:C54"/>
    <mergeCell ref="H54:I54"/>
    <mergeCell ref="B55:C55"/>
    <mergeCell ref="B87:C87"/>
    <mergeCell ref="D87:E87"/>
    <mergeCell ref="H79:I79"/>
    <mergeCell ref="B22:C22"/>
    <mergeCell ref="H22:I22"/>
    <mergeCell ref="H55:I55"/>
    <mergeCell ref="F54:G54"/>
    <mergeCell ref="F55:G55"/>
    <mergeCell ref="D54:E54"/>
    <mergeCell ref="D55:E55"/>
    <mergeCell ref="B40:C40"/>
    <mergeCell ref="D40:E40"/>
    <mergeCell ref="F40:G40"/>
    <mergeCell ref="H40:I40"/>
    <mergeCell ref="A2:K2"/>
    <mergeCell ref="D60:E60"/>
    <mergeCell ref="D61:E61"/>
    <mergeCell ref="F60:G60"/>
    <mergeCell ref="B68:C68"/>
    <mergeCell ref="D68:E68"/>
    <mergeCell ref="F68:G68"/>
    <mergeCell ref="H68:I68"/>
    <mergeCell ref="D39:E39"/>
    <mergeCell ref="F39:G39"/>
    <mergeCell ref="B5:C5"/>
    <mergeCell ref="H5:I5"/>
    <mergeCell ref="D5:E5"/>
    <mergeCell ref="F5:G5"/>
    <mergeCell ref="D22:E22"/>
    <mergeCell ref="D12:E12"/>
    <mergeCell ref="B12:C12"/>
    <mergeCell ref="H12:I12"/>
    <mergeCell ref="F12:G12"/>
    <mergeCell ref="F22:G22"/>
    <mergeCell ref="B7:C7"/>
    <mergeCell ref="H7:I7"/>
    <mergeCell ref="F7:G7"/>
    <mergeCell ref="D7:E7"/>
    <mergeCell ref="B80:C80"/>
    <mergeCell ref="D80:E80"/>
    <mergeCell ref="F80:G80"/>
    <mergeCell ref="H80:I80"/>
    <mergeCell ref="B79:C79"/>
    <mergeCell ref="D79:E79"/>
    <mergeCell ref="F79:G79"/>
    <mergeCell ref="B81:C81"/>
    <mergeCell ref="F87:G87"/>
    <mergeCell ref="H87:I87"/>
    <mergeCell ref="B85:C85"/>
    <mergeCell ref="B86:C86"/>
    <mergeCell ref="D81:E81"/>
    <mergeCell ref="D82:E82"/>
    <mergeCell ref="B82:C82"/>
    <mergeCell ref="B83:C83"/>
    <mergeCell ref="B84:C84"/>
    <mergeCell ref="D83:E83"/>
    <mergeCell ref="D84:E84"/>
    <mergeCell ref="D85:E85"/>
    <mergeCell ref="D86:E86"/>
    <mergeCell ref="F86:G86"/>
    <mergeCell ref="H81:I81"/>
    <mergeCell ref="H82:I82"/>
    <mergeCell ref="H83:I83"/>
    <mergeCell ref="H84:I84"/>
    <mergeCell ref="H85:I85"/>
    <mergeCell ref="H86:I86"/>
    <mergeCell ref="F81:G81"/>
    <mergeCell ref="F82:G82"/>
    <mergeCell ref="F83:G83"/>
    <mergeCell ref="F84:G84"/>
    <mergeCell ref="F85:G85"/>
  </mergeCells>
  <conditionalFormatting sqref="I9">
    <cfRule type="cellIs" dxfId="311" priority="142" operator="between">
      <formula>0.007</formula>
      <formula>0.013</formula>
    </cfRule>
    <cfRule type="cellIs" dxfId="310" priority="143" operator="lessThan">
      <formula>0.007</formula>
    </cfRule>
    <cfRule type="cellIs" dxfId="309" priority="144" operator="greaterThan">
      <formula>0.013</formula>
    </cfRule>
  </conditionalFormatting>
  <conditionalFormatting sqref="E49 I49 E27 G27 I27 E35 I35 C27 C35">
    <cfRule type="cellIs" dxfId="308" priority="127" operator="between">
      <formula>0.5</formula>
      <formula>0.75</formula>
    </cfRule>
    <cfRule type="cellIs" dxfId="307" priority="128" operator="lessThan">
      <formula>0.5</formula>
    </cfRule>
    <cfRule type="cellIs" dxfId="306" priority="129" operator="greaterThan">
      <formula>0.75</formula>
    </cfRule>
  </conditionalFormatting>
  <conditionalFormatting sqref="C9">
    <cfRule type="cellIs" dxfId="305" priority="124" operator="lessThan">
      <formula>0.009</formula>
    </cfRule>
    <cfRule type="cellIs" dxfId="304" priority="125" operator="greaterThan">
      <formula>0.015</formula>
    </cfRule>
    <cfRule type="cellIs" dxfId="303" priority="126" operator="between">
      <formula>0.009</formula>
      <formula>0.015</formula>
    </cfRule>
  </conditionalFormatting>
  <conditionalFormatting sqref="E9">
    <cfRule type="cellIs" dxfId="302" priority="121" operator="lessThan">
      <formula>0.007</formula>
    </cfRule>
    <cfRule type="cellIs" dxfId="301" priority="122" operator="greaterThan">
      <formula>0.013</formula>
    </cfRule>
    <cfRule type="cellIs" dxfId="300" priority="123" operator="between">
      <formula>0.007</formula>
      <formula>0.013</formula>
    </cfRule>
  </conditionalFormatting>
  <conditionalFormatting sqref="G9">
    <cfRule type="cellIs" dxfId="299" priority="118" operator="lessThan">
      <formula>0.009</formula>
    </cfRule>
    <cfRule type="cellIs" dxfId="298" priority="119" operator="greaterThan">
      <formula>0.015</formula>
    </cfRule>
    <cfRule type="cellIs" dxfId="297" priority="120" operator="between">
      <formula>0.009</formula>
      <formula>0.015</formula>
    </cfRule>
  </conditionalFormatting>
  <conditionalFormatting sqref="C18 E18 G18 I18">
    <cfRule type="cellIs" dxfId="296" priority="97" operator="between">
      <formula>0.8</formula>
      <formula>0.899</formula>
    </cfRule>
    <cfRule type="cellIs" dxfId="295" priority="98" operator="greaterThan">
      <formula>0.899</formula>
    </cfRule>
    <cfRule type="cellIs" dxfId="294" priority="99" operator="lessThan">
      <formula>0.8</formula>
    </cfRule>
  </conditionalFormatting>
  <conditionalFormatting sqref="K44">
    <cfRule type="cellIs" dxfId="293" priority="79" operator="lessThan">
      <formula>4.8%</formula>
    </cfRule>
    <cfRule type="cellIs" dxfId="292" priority="80" operator="greaterThan">
      <formula>9.8%</formula>
    </cfRule>
    <cfRule type="cellIs" dxfId="291" priority="81" operator="between">
      <formula>0.048</formula>
      <formula>0.098</formula>
    </cfRule>
  </conditionalFormatting>
  <conditionalFormatting sqref="K45">
    <cfRule type="cellIs" dxfId="290" priority="76" operator="between">
      <formula>0.108</formula>
      <formula>0.158</formula>
    </cfRule>
    <cfRule type="cellIs" dxfId="289" priority="77" operator="lessThan">
      <formula>0.108</formula>
    </cfRule>
    <cfRule type="cellIs" dxfId="288" priority="78" operator="greaterThan">
      <formula>0.158</formula>
    </cfRule>
  </conditionalFormatting>
  <conditionalFormatting sqref="K9">
    <cfRule type="cellIs" dxfId="287" priority="73" operator="between">
      <formula>0.014</formula>
      <formula>0.02</formula>
    </cfRule>
    <cfRule type="cellIs" dxfId="286" priority="74" operator="lessThan">
      <formula>0.014</formula>
    </cfRule>
    <cfRule type="cellIs" dxfId="285" priority="75" operator="greaterThan">
      <formula>0.02</formula>
    </cfRule>
  </conditionalFormatting>
  <conditionalFormatting sqref="K49 K27">
    <cfRule type="cellIs" dxfId="284" priority="70" operator="between">
      <formula>0.5</formula>
      <formula>0.75</formula>
    </cfRule>
    <cfRule type="cellIs" dxfId="283" priority="71" operator="lessThan">
      <formula>0.5</formula>
    </cfRule>
    <cfRule type="cellIs" dxfId="282" priority="72" operator="greaterThan">
      <formula>0.75</formula>
    </cfRule>
  </conditionalFormatting>
  <conditionalFormatting sqref="K14">
    <cfRule type="cellIs" dxfId="281" priority="58" operator="between">
      <formula>0.026</formula>
      <formula>0.046</formula>
    </cfRule>
    <cfRule type="cellIs" dxfId="280" priority="59" operator="lessThan">
      <formula>0.026</formula>
    </cfRule>
    <cfRule type="cellIs" dxfId="279" priority="60" operator="greaterThan">
      <formula>0.046</formula>
    </cfRule>
  </conditionalFormatting>
  <conditionalFormatting sqref="K18">
    <cfRule type="cellIs" dxfId="278" priority="55" operator="between">
      <formula>0.8</formula>
      <formula>0.899</formula>
    </cfRule>
    <cfRule type="cellIs" dxfId="277" priority="56" operator="greaterThan">
      <formula>0.899</formula>
    </cfRule>
    <cfRule type="cellIs" dxfId="276" priority="57" operator="lessThan">
      <formula>0.8</formula>
    </cfRule>
  </conditionalFormatting>
  <conditionalFormatting sqref="C49">
    <cfRule type="cellIs" dxfId="275" priority="37" operator="between">
      <formula>0.5</formula>
      <formula>0.75</formula>
    </cfRule>
    <cfRule type="cellIs" dxfId="274" priority="38" operator="lessThan">
      <formula>0.5</formula>
    </cfRule>
    <cfRule type="cellIs" dxfId="273" priority="39" operator="greaterThan">
      <formula>0.75</formula>
    </cfRule>
  </conditionalFormatting>
  <conditionalFormatting sqref="G35">
    <cfRule type="cellIs" dxfId="272" priority="52" operator="between">
      <formula>0.5</formula>
      <formula>0.75</formula>
    </cfRule>
    <cfRule type="cellIs" dxfId="271" priority="53" operator="lessThan">
      <formula>0.5</formula>
    </cfRule>
    <cfRule type="cellIs" dxfId="270" priority="54" operator="greaterThan">
      <formula>0.75</formula>
    </cfRule>
  </conditionalFormatting>
  <conditionalFormatting sqref="K35">
    <cfRule type="cellIs" dxfId="269" priority="49" operator="between">
      <formula>0.5</formula>
      <formula>0.75</formula>
    </cfRule>
    <cfRule type="cellIs" dxfId="268" priority="50" operator="lessThan">
      <formula>0.5</formula>
    </cfRule>
    <cfRule type="cellIs" dxfId="267" priority="51" operator="greaterThan">
      <formula>0.75</formula>
    </cfRule>
  </conditionalFormatting>
  <conditionalFormatting sqref="G49">
    <cfRule type="cellIs" dxfId="266" priority="40" operator="between">
      <formula>0.5</formula>
      <formula>0.75</formula>
    </cfRule>
    <cfRule type="cellIs" dxfId="265" priority="41" operator="lessThan">
      <formula>0.5</formula>
    </cfRule>
    <cfRule type="cellIs" dxfId="264" priority="42" operator="greaterThan">
      <formula>0.75</formula>
    </cfRule>
  </conditionalFormatting>
  <conditionalFormatting sqref="E14">
    <cfRule type="cellIs" dxfId="263" priority="34" operator="between">
      <formula>0.007</formula>
      <formula>0.015</formula>
    </cfRule>
    <cfRule type="cellIs" dxfId="262" priority="35" operator="lessThan">
      <formula>0.007</formula>
    </cfRule>
    <cfRule type="cellIs" dxfId="261" priority="36" operator="greaterThan">
      <formula>0.015</formula>
    </cfRule>
  </conditionalFormatting>
  <conditionalFormatting sqref="G14">
    <cfRule type="cellIs" dxfId="260" priority="31" operator="between">
      <formula>0.01</formula>
      <formula>0.016</formula>
    </cfRule>
    <cfRule type="cellIs" dxfId="259" priority="32" operator="lessThan">
      <formula>0.01</formula>
    </cfRule>
    <cfRule type="cellIs" dxfId="258" priority="33" operator="greaterThan">
      <formula>0.016</formula>
    </cfRule>
  </conditionalFormatting>
  <conditionalFormatting sqref="I14">
    <cfRule type="cellIs" dxfId="257" priority="28" operator="between">
      <formula>0.008</formula>
      <formula>0.014</formula>
    </cfRule>
    <cfRule type="cellIs" dxfId="256" priority="29" operator="lessThan">
      <formula>0.008</formula>
    </cfRule>
    <cfRule type="cellIs" dxfId="255" priority="30" operator="greaterThan">
      <formula>0.014</formula>
    </cfRule>
  </conditionalFormatting>
  <conditionalFormatting sqref="C44">
    <cfRule type="cellIs" dxfId="254" priority="22" operator="lessThan">
      <formula>0.062</formula>
    </cfRule>
    <cfRule type="cellIs" dxfId="253" priority="23" operator="between">
      <formula>0.062</formula>
      <formula>0.102</formula>
    </cfRule>
    <cfRule type="cellIs" dxfId="252" priority="24" operator="greaterThan">
      <formula>0.102</formula>
    </cfRule>
  </conditionalFormatting>
  <conditionalFormatting sqref="C45">
    <cfRule type="cellIs" dxfId="251" priority="19" operator="between">
      <formula>0.016</formula>
      <formula>0.026</formula>
    </cfRule>
    <cfRule type="cellIs" dxfId="250" priority="20" operator="lessThan">
      <formula>0.016</formula>
    </cfRule>
    <cfRule type="cellIs" dxfId="249" priority="21" operator="greaterThan">
      <formula>0.026</formula>
    </cfRule>
  </conditionalFormatting>
  <conditionalFormatting sqref="E44">
    <cfRule type="cellIs" dxfId="248" priority="16" operator="lessThan">
      <formula>0.055</formula>
    </cfRule>
    <cfRule type="cellIs" dxfId="247" priority="17" operator="between">
      <formula>0.055</formula>
      <formula>0.085</formula>
    </cfRule>
    <cfRule type="cellIs" dxfId="246" priority="18" operator="greaterThan">
      <formula>0.085</formula>
    </cfRule>
  </conditionalFormatting>
  <conditionalFormatting sqref="E45">
    <cfRule type="cellIs" dxfId="245" priority="13" operator="between">
      <formula>0.012</formula>
      <formula>0.022</formula>
    </cfRule>
    <cfRule type="cellIs" dxfId="244" priority="14" operator="lessThan">
      <formula>0.012</formula>
    </cfRule>
    <cfRule type="cellIs" dxfId="243" priority="15" operator="greaterThan">
      <formula>0.022</formula>
    </cfRule>
  </conditionalFormatting>
  <conditionalFormatting sqref="G44">
    <cfRule type="cellIs" dxfId="242" priority="10" operator="lessThan">
      <formula>4.3%</formula>
    </cfRule>
    <cfRule type="cellIs" dxfId="241" priority="11" operator="greaterThan">
      <formula>7.3%</formula>
    </cfRule>
    <cfRule type="cellIs" dxfId="240" priority="12" operator="between">
      <formula>0.043</formula>
      <formula>0.073</formula>
    </cfRule>
  </conditionalFormatting>
  <conditionalFormatting sqref="G45">
    <cfRule type="cellIs" dxfId="239" priority="7" operator="between">
      <formula>0.019</formula>
      <formula>0.029</formula>
    </cfRule>
    <cfRule type="cellIs" dxfId="238" priority="8" operator="lessThan">
      <formula>0.019</formula>
    </cfRule>
    <cfRule type="cellIs" dxfId="237" priority="9" operator="greaterThan">
      <formula>0.029</formula>
    </cfRule>
  </conditionalFormatting>
  <conditionalFormatting sqref="I44">
    <cfRule type="cellIs" dxfId="236" priority="4" operator="lessThan">
      <formula>2.5%</formula>
    </cfRule>
    <cfRule type="cellIs" dxfId="235" priority="5" operator="greaterThan">
      <formula>5.5%</formula>
    </cfRule>
    <cfRule type="cellIs" dxfId="234" priority="6" operator="between">
      <formula>0.025</formula>
      <formula>0.055</formula>
    </cfRule>
  </conditionalFormatting>
  <conditionalFormatting sqref="I45">
    <cfRule type="cellIs" dxfId="233" priority="1" operator="between">
      <formula>0.018</formula>
      <formula>0.028</formula>
    </cfRule>
    <cfRule type="cellIs" dxfId="232" priority="2" operator="lessThan">
      <formula>0.018</formula>
    </cfRule>
    <cfRule type="cellIs" dxfId="231" priority="3" operator="greaterThan">
      <formula>0.028</formula>
    </cfRule>
  </conditionalFormatting>
  <printOptions horizontalCentered="1"/>
  <pageMargins left="0" right="0" top="0.25" bottom="0" header="0.3" footer="0.3"/>
  <pageSetup scale="83" fitToHeight="0" orientation="landscape" r:id="rId1"/>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53"/>
  <sheetViews>
    <sheetView workbookViewId="0">
      <pane xSplit="1" ySplit="5" topLeftCell="B41" activePane="bottomRight" state="frozen"/>
      <selection activeCell="D5" sqref="D5:E5"/>
      <selection pane="topRight" activeCell="D5" sqref="D5:E5"/>
      <selection pane="bottomLeft" activeCell="D5" sqref="D5:E5"/>
      <selection pane="bottomRight" activeCell="BH9" sqref="BH9"/>
    </sheetView>
  </sheetViews>
  <sheetFormatPr defaultRowHeight="14.5" x14ac:dyDescent="0.35"/>
  <cols>
    <col min="1" max="1" width="49.26953125" bestFit="1" customWidth="1"/>
    <col min="2" max="6" width="5.26953125" customWidth="1"/>
    <col min="7" max="7" width="1.7265625" customWidth="1"/>
    <col min="8" max="12" width="5.26953125" customWidth="1"/>
    <col min="13" max="13" width="1.7265625" customWidth="1"/>
    <col min="14" max="18" width="5.26953125" customWidth="1"/>
    <col min="19" max="19" width="1.7265625" customWidth="1"/>
    <col min="20" max="24" width="5.26953125" customWidth="1"/>
    <col min="25" max="25" width="1.7265625" customWidth="1"/>
    <col min="26" max="30" width="5.26953125" customWidth="1"/>
    <col min="31" max="31" width="1.7265625" customWidth="1"/>
    <col min="32" max="36" width="5.26953125" customWidth="1"/>
    <col min="37" max="37" width="1.7265625" customWidth="1"/>
    <col min="38" max="42" width="5.26953125" customWidth="1"/>
    <col min="43" max="43" width="1.7265625" customWidth="1"/>
    <col min="44" max="48" width="5.26953125" customWidth="1"/>
    <col min="49" max="49" width="1.7265625" customWidth="1"/>
    <col min="50" max="54" width="5.26953125" customWidth="1"/>
    <col min="55" max="55" width="1.7265625" customWidth="1"/>
    <col min="56" max="60" width="5.26953125" customWidth="1"/>
  </cols>
  <sheetData>
    <row r="1" spans="1:63" x14ac:dyDescent="0.35">
      <c r="A1" s="29">
        <v>1</v>
      </c>
      <c r="B1" s="29">
        <v>2</v>
      </c>
      <c r="C1" s="29">
        <v>3</v>
      </c>
      <c r="D1" s="29">
        <v>4</v>
      </c>
      <c r="E1" s="29">
        <v>5</v>
      </c>
      <c r="F1" s="29">
        <v>6</v>
      </c>
      <c r="G1" s="29">
        <v>7</v>
      </c>
      <c r="H1" s="29">
        <v>8</v>
      </c>
      <c r="I1" s="29">
        <v>9</v>
      </c>
      <c r="J1" s="29">
        <v>10</v>
      </c>
      <c r="K1" s="29">
        <v>11</v>
      </c>
      <c r="L1" s="29">
        <v>12</v>
      </c>
      <c r="M1" s="29">
        <v>13</v>
      </c>
      <c r="N1" s="29">
        <v>14</v>
      </c>
      <c r="O1" s="29">
        <v>15</v>
      </c>
      <c r="P1" s="29">
        <v>16</v>
      </c>
      <c r="Q1" s="29">
        <v>17</v>
      </c>
      <c r="R1" s="29">
        <v>18</v>
      </c>
      <c r="S1" s="29">
        <v>19</v>
      </c>
      <c r="T1" s="29">
        <v>20</v>
      </c>
      <c r="U1" s="29">
        <v>21</v>
      </c>
      <c r="V1" s="29">
        <v>22</v>
      </c>
      <c r="W1" s="29">
        <v>23</v>
      </c>
      <c r="X1" s="29">
        <v>24</v>
      </c>
      <c r="Y1" s="29">
        <v>25</v>
      </c>
      <c r="Z1" s="29">
        <v>26</v>
      </c>
      <c r="AA1" s="29">
        <v>27</v>
      </c>
      <c r="AB1" s="29">
        <v>28</v>
      </c>
      <c r="AC1" s="29">
        <v>29</v>
      </c>
      <c r="AD1" s="29">
        <v>30</v>
      </c>
      <c r="AE1" s="29">
        <v>31</v>
      </c>
      <c r="AF1" s="29">
        <v>32</v>
      </c>
      <c r="AG1" s="29">
        <v>33</v>
      </c>
      <c r="AH1" s="29">
        <v>34</v>
      </c>
      <c r="AI1" s="29">
        <v>35</v>
      </c>
      <c r="AJ1" s="29">
        <v>36</v>
      </c>
      <c r="AK1" s="29">
        <v>37</v>
      </c>
      <c r="AL1" s="29">
        <v>38</v>
      </c>
      <c r="AM1" s="29">
        <v>39</v>
      </c>
      <c r="AN1" s="29">
        <v>40</v>
      </c>
      <c r="AO1" s="29">
        <v>41</v>
      </c>
      <c r="AP1" s="29">
        <v>42</v>
      </c>
      <c r="AQ1" s="29">
        <v>43</v>
      </c>
      <c r="AR1" s="29">
        <v>44</v>
      </c>
      <c r="AS1" s="29">
        <v>45</v>
      </c>
      <c r="AT1" s="29">
        <v>46</v>
      </c>
      <c r="AU1" s="29">
        <v>47</v>
      </c>
      <c r="AV1" s="29">
        <v>48</v>
      </c>
      <c r="AW1" s="29">
        <v>49</v>
      </c>
      <c r="AX1" s="29">
        <v>50</v>
      </c>
      <c r="AY1" s="29">
        <v>51</v>
      </c>
      <c r="AZ1" s="29">
        <v>52</v>
      </c>
      <c r="BA1" s="29">
        <v>53</v>
      </c>
      <c r="BB1" s="29">
        <v>54</v>
      </c>
      <c r="BC1" s="29">
        <v>55</v>
      </c>
      <c r="BD1" s="29">
        <v>56</v>
      </c>
      <c r="BE1" s="29">
        <v>57</v>
      </c>
      <c r="BF1" s="29">
        <v>58</v>
      </c>
      <c r="BG1" s="29">
        <v>59</v>
      </c>
      <c r="BH1" s="29">
        <v>60</v>
      </c>
    </row>
    <row r="2" spans="1:63" ht="60.75" customHeight="1" x14ac:dyDescent="0.35">
      <c r="B2" s="47" t="s">
        <v>200</v>
      </c>
      <c r="C2" s="47"/>
      <c r="D2" s="47"/>
      <c r="E2" s="47"/>
      <c r="F2" s="47"/>
      <c r="H2" s="47" t="s">
        <v>202</v>
      </c>
      <c r="I2" s="47"/>
      <c r="J2" s="47"/>
      <c r="K2" s="47"/>
      <c r="L2" s="47"/>
      <c r="N2" s="47" t="s">
        <v>203</v>
      </c>
      <c r="O2" s="47"/>
      <c r="P2" s="47"/>
      <c r="Q2" s="47"/>
      <c r="R2" s="47"/>
      <c r="T2" s="47" t="s">
        <v>205</v>
      </c>
      <c r="U2" s="47"/>
      <c r="V2" s="47"/>
      <c r="W2" s="47"/>
      <c r="X2" s="47"/>
      <c r="Z2" s="47" t="s">
        <v>204</v>
      </c>
      <c r="AA2" s="47"/>
      <c r="AB2" s="47"/>
      <c r="AC2" s="47"/>
      <c r="AD2" s="47"/>
      <c r="AF2" s="286" t="s">
        <v>206</v>
      </c>
      <c r="AG2" s="286"/>
      <c r="AH2" s="286"/>
      <c r="AI2" s="286"/>
      <c r="AJ2" s="286"/>
      <c r="AL2" s="47" t="s">
        <v>207</v>
      </c>
      <c r="AM2" s="47"/>
      <c r="AN2" s="47"/>
      <c r="AO2" s="286"/>
      <c r="AP2" s="47"/>
      <c r="AR2" s="286" t="s">
        <v>208</v>
      </c>
      <c r="AS2" s="286"/>
      <c r="AT2" s="286"/>
      <c r="AU2" s="286"/>
      <c r="AV2" s="286"/>
      <c r="AX2" s="286" t="s">
        <v>209</v>
      </c>
      <c r="AY2" s="286"/>
      <c r="AZ2" s="286"/>
      <c r="BA2" s="286"/>
      <c r="BB2" s="286"/>
      <c r="BD2" s="47" t="s">
        <v>214</v>
      </c>
      <c r="BE2" s="340"/>
      <c r="BF2" s="340"/>
      <c r="BG2" s="286"/>
      <c r="BH2" s="47"/>
      <c r="BJ2" s="41"/>
      <c r="BK2" s="41"/>
    </row>
    <row r="3" spans="1:63" ht="18" customHeight="1" x14ac:dyDescent="0.35">
      <c r="B3" s="48"/>
      <c r="C3" s="48"/>
      <c r="D3" s="48"/>
      <c r="E3" s="48"/>
      <c r="F3" s="48"/>
      <c r="H3" s="48"/>
      <c r="I3" s="48"/>
      <c r="J3" s="48"/>
      <c r="K3" s="48"/>
      <c r="L3" s="48"/>
      <c r="N3" s="48"/>
      <c r="O3" s="48"/>
      <c r="P3" s="48"/>
      <c r="Q3" s="48"/>
      <c r="R3" s="48"/>
      <c r="T3" s="48"/>
      <c r="U3" s="48"/>
      <c r="V3" s="48"/>
      <c r="W3" s="48"/>
      <c r="X3" s="48"/>
      <c r="Z3" s="48"/>
      <c r="AA3" s="48"/>
      <c r="AB3" s="48"/>
      <c r="AC3" s="48"/>
      <c r="AD3" s="48"/>
      <c r="AF3" s="286"/>
      <c r="AG3" s="286"/>
      <c r="AH3" s="286"/>
      <c r="AI3" s="286"/>
      <c r="AJ3" s="286"/>
      <c r="AL3" s="48"/>
      <c r="AM3" s="48"/>
      <c r="AN3" s="48"/>
      <c r="AO3" s="286"/>
      <c r="AP3" s="48"/>
      <c r="AR3" s="286"/>
      <c r="AS3" s="286"/>
      <c r="AT3" s="286"/>
      <c r="AU3" s="286"/>
      <c r="AV3" s="286"/>
      <c r="AX3" s="286"/>
      <c r="AY3" s="286"/>
      <c r="AZ3" s="286"/>
      <c r="BA3" s="286"/>
      <c r="BB3" s="286"/>
      <c r="BD3" s="340"/>
      <c r="BE3" s="340"/>
      <c r="BF3" s="340"/>
      <c r="BG3" s="286"/>
      <c r="BH3" s="216"/>
      <c r="BJ3" s="41"/>
      <c r="BK3" s="41"/>
    </row>
    <row r="4" spans="1:63" ht="18" hidden="1" customHeight="1" x14ac:dyDescent="0.35">
      <c r="B4" s="15"/>
      <c r="C4" s="15"/>
      <c r="D4" s="15"/>
      <c r="E4" s="15"/>
      <c r="F4" s="15"/>
      <c r="H4" s="15"/>
      <c r="I4" s="15"/>
      <c r="J4" s="15"/>
      <c r="K4" s="15"/>
      <c r="L4" s="15"/>
      <c r="N4" s="15"/>
      <c r="O4" s="15"/>
      <c r="P4" s="15"/>
      <c r="Q4" s="15"/>
      <c r="R4" s="15"/>
      <c r="T4" s="15"/>
      <c r="U4" s="15"/>
      <c r="V4" s="15"/>
      <c r="W4" s="15"/>
      <c r="X4" s="15"/>
      <c r="Z4" s="15"/>
      <c r="AA4" s="15"/>
      <c r="AB4" s="15"/>
      <c r="AC4" s="15"/>
      <c r="AD4" s="15"/>
      <c r="AF4" s="15"/>
      <c r="AG4" s="15"/>
      <c r="AH4" s="15"/>
      <c r="AI4" s="15"/>
      <c r="AJ4" s="15"/>
      <c r="AL4" s="15"/>
      <c r="AM4" s="15"/>
      <c r="AN4" s="15"/>
      <c r="AO4" s="15"/>
      <c r="AP4" s="15"/>
      <c r="AR4" s="15"/>
      <c r="AS4" s="15"/>
      <c r="AT4" s="15"/>
      <c r="AU4" s="15"/>
      <c r="AV4" s="15"/>
      <c r="AX4" s="15"/>
      <c r="AY4" s="15"/>
      <c r="AZ4" s="15"/>
      <c r="BA4" s="15"/>
      <c r="BB4" s="15"/>
      <c r="BD4" s="15"/>
      <c r="BE4" s="15"/>
      <c r="BF4" s="15"/>
      <c r="BG4" s="15"/>
      <c r="BH4" s="15"/>
    </row>
    <row r="5" spans="1:63" ht="30" customHeight="1" x14ac:dyDescent="0.35">
      <c r="A5" s="39" t="s">
        <v>36</v>
      </c>
      <c r="B5" s="15">
        <v>2017</v>
      </c>
      <c r="C5" s="15">
        <v>2018</v>
      </c>
      <c r="D5" s="15">
        <v>2019</v>
      </c>
      <c r="E5" s="15">
        <v>2020</v>
      </c>
      <c r="F5" s="15">
        <v>2021</v>
      </c>
      <c r="H5" s="15">
        <v>2017</v>
      </c>
      <c r="I5" s="15">
        <v>2018</v>
      </c>
      <c r="J5" s="15">
        <v>2019</v>
      </c>
      <c r="K5" s="15">
        <v>2020</v>
      </c>
      <c r="L5" s="15">
        <v>2021</v>
      </c>
      <c r="N5" s="15">
        <v>2017</v>
      </c>
      <c r="O5" s="15">
        <v>2018</v>
      </c>
      <c r="P5" s="15">
        <v>2019</v>
      </c>
      <c r="Q5" s="15">
        <v>2020</v>
      </c>
      <c r="R5" s="15">
        <v>2021</v>
      </c>
      <c r="T5" s="15">
        <v>2017</v>
      </c>
      <c r="U5" s="15">
        <v>2018</v>
      </c>
      <c r="V5" s="15">
        <v>2019</v>
      </c>
      <c r="W5" s="15">
        <v>2020</v>
      </c>
      <c r="X5" s="15">
        <v>2021</v>
      </c>
      <c r="Z5" s="15">
        <v>2017</v>
      </c>
      <c r="AA5" s="15">
        <v>2018</v>
      </c>
      <c r="AB5" s="15">
        <v>2019</v>
      </c>
      <c r="AC5" s="15">
        <v>2020</v>
      </c>
      <c r="AD5" s="15">
        <v>2021</v>
      </c>
      <c r="AF5" s="15">
        <v>2017</v>
      </c>
      <c r="AG5" s="15">
        <v>2018</v>
      </c>
      <c r="AH5" s="15">
        <v>2019</v>
      </c>
      <c r="AI5" s="15">
        <v>2020</v>
      </c>
      <c r="AJ5" s="15">
        <v>2021</v>
      </c>
      <c r="AL5" s="15">
        <v>2017</v>
      </c>
      <c r="AM5" s="15">
        <v>2018</v>
      </c>
      <c r="AN5" s="15">
        <v>2019</v>
      </c>
      <c r="AO5" s="15">
        <v>2020</v>
      </c>
      <c r="AP5" s="15">
        <v>2021</v>
      </c>
      <c r="AR5" s="15">
        <v>2017</v>
      </c>
      <c r="AS5" s="15">
        <v>2018</v>
      </c>
      <c r="AT5" s="15">
        <v>2019</v>
      </c>
      <c r="AU5" s="15">
        <v>2020</v>
      </c>
      <c r="AV5" s="15">
        <v>2021</v>
      </c>
      <c r="AX5" s="15">
        <v>2017</v>
      </c>
      <c r="AY5" s="15">
        <v>2018</v>
      </c>
      <c r="AZ5" s="15">
        <v>2019</v>
      </c>
      <c r="BA5" s="15">
        <v>2020</v>
      </c>
      <c r="BB5" s="15">
        <v>2021</v>
      </c>
      <c r="BD5" s="15">
        <v>2017</v>
      </c>
      <c r="BE5" s="15">
        <v>2018</v>
      </c>
      <c r="BF5" s="15">
        <v>2019</v>
      </c>
      <c r="BG5" s="15">
        <v>2020</v>
      </c>
      <c r="BH5" s="15">
        <v>2021</v>
      </c>
    </row>
    <row r="6" spans="1:63" x14ac:dyDescent="0.35">
      <c r="A6" s="16" t="s">
        <v>345</v>
      </c>
      <c r="B6" s="156" t="s">
        <v>55</v>
      </c>
      <c r="C6" s="156" t="s">
        <v>55</v>
      </c>
      <c r="D6" s="156" t="s">
        <v>201</v>
      </c>
      <c r="E6" s="156" t="s">
        <v>201</v>
      </c>
      <c r="F6" s="157" t="s">
        <v>55</v>
      </c>
      <c r="H6" s="156" t="s">
        <v>298</v>
      </c>
      <c r="I6" s="156" t="s">
        <v>55</v>
      </c>
      <c r="J6" s="156" t="s">
        <v>298</v>
      </c>
      <c r="K6" s="156" t="s">
        <v>298</v>
      </c>
      <c r="L6" s="157" t="s">
        <v>298</v>
      </c>
      <c r="N6" s="156" t="s">
        <v>55</v>
      </c>
      <c r="O6" s="156" t="s">
        <v>298</v>
      </c>
      <c r="P6" s="156" t="s">
        <v>55</v>
      </c>
      <c r="Q6" s="156" t="s">
        <v>298</v>
      </c>
      <c r="R6" s="157" t="s">
        <v>298</v>
      </c>
      <c r="T6" s="156" t="s">
        <v>55</v>
      </c>
      <c r="U6" s="156" t="s">
        <v>55</v>
      </c>
      <c r="V6" s="156" t="s">
        <v>55</v>
      </c>
      <c r="W6" s="156" t="s">
        <v>298</v>
      </c>
      <c r="X6" s="157" t="s">
        <v>55</v>
      </c>
      <c r="Z6" s="156" t="s">
        <v>298</v>
      </c>
      <c r="AA6" s="156" t="s">
        <v>55</v>
      </c>
      <c r="AB6" s="156" t="s">
        <v>298</v>
      </c>
      <c r="AC6" s="156" t="s">
        <v>298</v>
      </c>
      <c r="AD6" s="157" t="s">
        <v>298</v>
      </c>
      <c r="AF6" s="156" t="s">
        <v>55</v>
      </c>
      <c r="AG6" s="156" t="s">
        <v>298</v>
      </c>
      <c r="AH6" s="156" t="s">
        <v>55</v>
      </c>
      <c r="AI6" s="156" t="s">
        <v>298</v>
      </c>
      <c r="AJ6" s="157" t="s">
        <v>298</v>
      </c>
      <c r="AL6" s="156" t="s">
        <v>55</v>
      </c>
      <c r="AM6" s="156" t="s">
        <v>298</v>
      </c>
      <c r="AN6" s="156" t="s">
        <v>55</v>
      </c>
      <c r="AO6" s="156" t="s">
        <v>298</v>
      </c>
      <c r="AP6" s="157" t="s">
        <v>298</v>
      </c>
      <c r="AR6" s="156" t="s">
        <v>298</v>
      </c>
      <c r="AS6" s="156" t="s">
        <v>55</v>
      </c>
      <c r="AT6" s="156" t="s">
        <v>298</v>
      </c>
      <c r="AU6" s="156" t="s">
        <v>298</v>
      </c>
      <c r="AV6" s="157" t="s">
        <v>201</v>
      </c>
      <c r="AX6" s="156" t="s">
        <v>55</v>
      </c>
      <c r="AY6" s="156" t="s">
        <v>298</v>
      </c>
      <c r="AZ6" s="156" t="s">
        <v>201</v>
      </c>
      <c r="BA6" s="156" t="s">
        <v>298</v>
      </c>
      <c r="BB6" s="157" t="s">
        <v>298</v>
      </c>
      <c r="BD6" s="156"/>
      <c r="BE6" s="156"/>
      <c r="BF6" s="156" t="s">
        <v>55</v>
      </c>
      <c r="BG6" s="156" t="s">
        <v>298</v>
      </c>
      <c r="BH6" s="157" t="s">
        <v>201</v>
      </c>
      <c r="BJ6" s="155" t="str">
        <f>IF(BK6=A6,"OK","No")</f>
        <v>OK</v>
      </c>
      <c r="BK6" t="s">
        <v>345</v>
      </c>
    </row>
    <row r="7" spans="1:63" x14ac:dyDescent="0.35">
      <c r="A7" s="16" t="s">
        <v>21</v>
      </c>
      <c r="B7" s="156" t="s">
        <v>201</v>
      </c>
      <c r="C7" s="156" t="s">
        <v>55</v>
      </c>
      <c r="D7" s="156" t="s">
        <v>55</v>
      </c>
      <c r="E7" s="156" t="s">
        <v>201</v>
      </c>
      <c r="F7" s="157" t="s">
        <v>201</v>
      </c>
      <c r="H7" s="156" t="s">
        <v>298</v>
      </c>
      <c r="I7" s="156" t="s">
        <v>55</v>
      </c>
      <c r="J7" s="156" t="s">
        <v>298</v>
      </c>
      <c r="K7" s="156" t="s">
        <v>298</v>
      </c>
      <c r="L7" s="157" t="s">
        <v>298</v>
      </c>
      <c r="N7" s="156" t="s">
        <v>55</v>
      </c>
      <c r="O7" s="156" t="s">
        <v>298</v>
      </c>
      <c r="P7" s="156" t="s">
        <v>55</v>
      </c>
      <c r="Q7" s="156" t="s">
        <v>298</v>
      </c>
      <c r="R7" s="157" t="s">
        <v>298</v>
      </c>
      <c r="T7" s="156" t="s">
        <v>55</v>
      </c>
      <c r="U7" s="156" t="s">
        <v>55</v>
      </c>
      <c r="V7" s="156" t="s">
        <v>55</v>
      </c>
      <c r="W7" s="156" t="s">
        <v>298</v>
      </c>
      <c r="X7" s="157" t="s">
        <v>55</v>
      </c>
      <c r="Z7" s="156" t="s">
        <v>298</v>
      </c>
      <c r="AA7" s="156" t="s">
        <v>55</v>
      </c>
      <c r="AB7" s="156" t="s">
        <v>298</v>
      </c>
      <c r="AC7" s="156" t="s">
        <v>298</v>
      </c>
      <c r="AD7" s="157" t="s">
        <v>298</v>
      </c>
      <c r="AF7" s="156" t="s">
        <v>55</v>
      </c>
      <c r="AG7" s="156" t="s">
        <v>298</v>
      </c>
      <c r="AH7" s="156" t="s">
        <v>55</v>
      </c>
      <c r="AI7" s="156" t="s">
        <v>298</v>
      </c>
      <c r="AJ7" s="157" t="s">
        <v>298</v>
      </c>
      <c r="AL7" s="156" t="s">
        <v>210</v>
      </c>
      <c r="AM7" s="156" t="s">
        <v>298</v>
      </c>
      <c r="AN7" s="156" t="s">
        <v>210</v>
      </c>
      <c r="AO7" s="156" t="s">
        <v>298</v>
      </c>
      <c r="AP7" s="157" t="s">
        <v>298</v>
      </c>
      <c r="AR7" s="156" t="s">
        <v>298</v>
      </c>
      <c r="AS7" s="156" t="s">
        <v>55</v>
      </c>
      <c r="AT7" s="156" t="s">
        <v>298</v>
      </c>
      <c r="AU7" s="156" t="s">
        <v>298</v>
      </c>
      <c r="AV7" s="157" t="s">
        <v>55</v>
      </c>
      <c r="AX7" s="156" t="s">
        <v>55</v>
      </c>
      <c r="AY7" s="156" t="s">
        <v>298</v>
      </c>
      <c r="AZ7" s="156" t="s">
        <v>55</v>
      </c>
      <c r="BA7" s="156" t="s">
        <v>298</v>
      </c>
      <c r="BB7" s="157" t="s">
        <v>298</v>
      </c>
      <c r="BD7" s="156"/>
      <c r="BE7" s="156"/>
      <c r="BF7" s="156" t="s">
        <v>55</v>
      </c>
      <c r="BG7" s="156" t="s">
        <v>298</v>
      </c>
      <c r="BH7" s="157" t="s">
        <v>55</v>
      </c>
      <c r="BJ7" s="155" t="str">
        <f t="shared" ref="BJ7:BJ51" si="0">IF(BK7=A7,"OK","No")</f>
        <v>OK</v>
      </c>
      <c r="BK7" t="s">
        <v>21</v>
      </c>
    </row>
    <row r="8" spans="1:63" x14ac:dyDescent="0.35">
      <c r="A8" s="16" t="s">
        <v>357</v>
      </c>
      <c r="B8" s="156" t="s">
        <v>55</v>
      </c>
      <c r="C8" s="156" t="s">
        <v>55</v>
      </c>
      <c r="D8" s="156" t="s">
        <v>55</v>
      </c>
      <c r="E8" s="156" t="s">
        <v>55</v>
      </c>
      <c r="F8" s="157" t="s">
        <v>55</v>
      </c>
      <c r="H8" s="156" t="s">
        <v>298</v>
      </c>
      <c r="I8" s="156" t="s">
        <v>55</v>
      </c>
      <c r="J8" s="156" t="s">
        <v>298</v>
      </c>
      <c r="K8" s="156" t="s">
        <v>298</v>
      </c>
      <c r="L8" s="157" t="s">
        <v>298</v>
      </c>
      <c r="N8" s="156" t="s">
        <v>55</v>
      </c>
      <c r="O8" s="156" t="s">
        <v>298</v>
      </c>
      <c r="P8" s="156" t="s">
        <v>55</v>
      </c>
      <c r="Q8" s="156" t="s">
        <v>298</v>
      </c>
      <c r="R8" s="157" t="s">
        <v>298</v>
      </c>
      <c r="T8" s="156" t="s">
        <v>55</v>
      </c>
      <c r="U8" s="156" t="s">
        <v>210</v>
      </c>
      <c r="V8" s="156" t="s">
        <v>55</v>
      </c>
      <c r="W8" s="156" t="s">
        <v>298</v>
      </c>
      <c r="X8" s="157" t="s">
        <v>210</v>
      </c>
      <c r="Z8" s="156" t="s">
        <v>298</v>
      </c>
      <c r="AA8" s="156" t="s">
        <v>210</v>
      </c>
      <c r="AB8" s="156" t="s">
        <v>298</v>
      </c>
      <c r="AC8" s="156" t="s">
        <v>298</v>
      </c>
      <c r="AD8" s="157" t="s">
        <v>298</v>
      </c>
      <c r="AF8" s="156" t="s">
        <v>55</v>
      </c>
      <c r="AG8" s="156" t="s">
        <v>298</v>
      </c>
      <c r="AH8" s="156" t="s">
        <v>55</v>
      </c>
      <c r="AI8" s="156" t="s">
        <v>298</v>
      </c>
      <c r="AJ8" s="157" t="s">
        <v>298</v>
      </c>
      <c r="AL8" s="156" t="s">
        <v>210</v>
      </c>
      <c r="AM8" s="156" t="s">
        <v>298</v>
      </c>
      <c r="AN8" s="156" t="s">
        <v>210</v>
      </c>
      <c r="AO8" s="156" t="s">
        <v>298</v>
      </c>
      <c r="AP8" s="157" t="s">
        <v>298</v>
      </c>
      <c r="AR8" s="156" t="s">
        <v>298</v>
      </c>
      <c r="AS8" s="156" t="s">
        <v>210</v>
      </c>
      <c r="AT8" s="156" t="s">
        <v>298</v>
      </c>
      <c r="AU8" s="156" t="s">
        <v>298</v>
      </c>
      <c r="AV8" s="157" t="s">
        <v>210</v>
      </c>
      <c r="AX8" s="156" t="s">
        <v>210</v>
      </c>
      <c r="AY8" s="156" t="s">
        <v>298</v>
      </c>
      <c r="AZ8" s="156" t="s">
        <v>210</v>
      </c>
      <c r="BA8" s="156" t="s">
        <v>298</v>
      </c>
      <c r="BB8" s="157" t="s">
        <v>298</v>
      </c>
      <c r="BD8" s="156"/>
      <c r="BE8" s="156"/>
      <c r="BF8" s="156" t="s">
        <v>210</v>
      </c>
      <c r="BG8" s="156" t="s">
        <v>298</v>
      </c>
      <c r="BH8" s="157" t="s">
        <v>210</v>
      </c>
      <c r="BJ8" s="155" t="str">
        <f t="shared" si="0"/>
        <v>OK</v>
      </c>
      <c r="BK8" t="s">
        <v>357</v>
      </c>
    </row>
    <row r="9" spans="1:63" x14ac:dyDescent="0.35">
      <c r="A9" s="16" t="s">
        <v>0</v>
      </c>
      <c r="B9" s="156" t="s">
        <v>55</v>
      </c>
      <c r="C9" s="156" t="s">
        <v>55</v>
      </c>
      <c r="D9" s="156" t="s">
        <v>55</v>
      </c>
      <c r="E9" s="156" t="s">
        <v>55</v>
      </c>
      <c r="F9" s="157" t="s">
        <v>55</v>
      </c>
      <c r="H9" s="156" t="s">
        <v>298</v>
      </c>
      <c r="I9" s="156" t="s">
        <v>55</v>
      </c>
      <c r="J9" s="156" t="s">
        <v>298</v>
      </c>
      <c r="K9" s="156" t="s">
        <v>298</v>
      </c>
      <c r="L9" s="157" t="s">
        <v>298</v>
      </c>
      <c r="N9" s="156" t="s">
        <v>55</v>
      </c>
      <c r="O9" s="156" t="s">
        <v>298</v>
      </c>
      <c r="P9" s="156" t="s">
        <v>55</v>
      </c>
      <c r="Q9" s="156" t="s">
        <v>298</v>
      </c>
      <c r="R9" s="157" t="s">
        <v>298</v>
      </c>
      <c r="T9" s="156" t="s">
        <v>55</v>
      </c>
      <c r="U9" s="156" t="s">
        <v>55</v>
      </c>
      <c r="V9" s="156" t="s">
        <v>55</v>
      </c>
      <c r="W9" s="156" t="s">
        <v>298</v>
      </c>
      <c r="X9" s="157" t="s">
        <v>55</v>
      </c>
      <c r="Z9" s="156" t="s">
        <v>298</v>
      </c>
      <c r="AA9" s="156" t="s">
        <v>55</v>
      </c>
      <c r="AB9" s="156" t="s">
        <v>298</v>
      </c>
      <c r="AC9" s="156" t="s">
        <v>298</v>
      </c>
      <c r="AD9" s="157" t="s">
        <v>298</v>
      </c>
      <c r="AF9" s="156" t="s">
        <v>55</v>
      </c>
      <c r="AG9" s="156" t="s">
        <v>298</v>
      </c>
      <c r="AH9" s="156" t="s">
        <v>55</v>
      </c>
      <c r="AI9" s="156" t="s">
        <v>298</v>
      </c>
      <c r="AJ9" s="157" t="s">
        <v>298</v>
      </c>
      <c r="AL9" s="156" t="s">
        <v>55</v>
      </c>
      <c r="AM9" s="156" t="s">
        <v>298</v>
      </c>
      <c r="AN9" s="156" t="s">
        <v>55</v>
      </c>
      <c r="AO9" s="156" t="s">
        <v>298</v>
      </c>
      <c r="AP9" s="157" t="s">
        <v>298</v>
      </c>
      <c r="AR9" s="156" t="s">
        <v>298</v>
      </c>
      <c r="AS9" s="156" t="s">
        <v>55</v>
      </c>
      <c r="AT9" s="156" t="s">
        <v>298</v>
      </c>
      <c r="AU9" s="156" t="s">
        <v>298</v>
      </c>
      <c r="AV9" s="157" t="s">
        <v>55</v>
      </c>
      <c r="AX9" s="156" t="s">
        <v>55</v>
      </c>
      <c r="AY9" s="156" t="s">
        <v>298</v>
      </c>
      <c r="AZ9" s="156" t="s">
        <v>55</v>
      </c>
      <c r="BA9" s="156" t="s">
        <v>298</v>
      </c>
      <c r="BB9" s="157" t="s">
        <v>298</v>
      </c>
      <c r="BD9" s="156"/>
      <c r="BE9" s="156"/>
      <c r="BF9" s="156" t="s">
        <v>201</v>
      </c>
      <c r="BG9" s="156" t="s">
        <v>298</v>
      </c>
      <c r="BH9" s="157" t="s">
        <v>55</v>
      </c>
      <c r="BJ9" s="155" t="str">
        <f t="shared" si="0"/>
        <v>OK</v>
      </c>
      <c r="BK9" t="s">
        <v>0</v>
      </c>
    </row>
    <row r="10" spans="1:63" x14ac:dyDescent="0.35">
      <c r="A10" s="16" t="s">
        <v>1</v>
      </c>
      <c r="B10" s="156" t="s">
        <v>55</v>
      </c>
      <c r="C10" s="156" t="s">
        <v>55</v>
      </c>
      <c r="D10" s="156" t="s">
        <v>55</v>
      </c>
      <c r="E10" s="156" t="s">
        <v>55</v>
      </c>
      <c r="F10" s="157" t="s">
        <v>55</v>
      </c>
      <c r="H10" s="156" t="s">
        <v>298</v>
      </c>
      <c r="I10" s="156" t="s">
        <v>55</v>
      </c>
      <c r="J10" s="156" t="s">
        <v>298</v>
      </c>
      <c r="K10" s="156" t="s">
        <v>298</v>
      </c>
      <c r="L10" s="157" t="s">
        <v>298</v>
      </c>
      <c r="N10" s="156" t="s">
        <v>55</v>
      </c>
      <c r="O10" s="156" t="s">
        <v>298</v>
      </c>
      <c r="P10" s="156" t="s">
        <v>55</v>
      </c>
      <c r="Q10" s="156" t="s">
        <v>298</v>
      </c>
      <c r="R10" s="157" t="s">
        <v>298</v>
      </c>
      <c r="T10" s="156" t="s">
        <v>55</v>
      </c>
      <c r="U10" s="156" t="s">
        <v>55</v>
      </c>
      <c r="V10" s="156" t="s">
        <v>55</v>
      </c>
      <c r="W10" s="156" t="s">
        <v>298</v>
      </c>
      <c r="X10" s="157" t="s">
        <v>55</v>
      </c>
      <c r="Z10" s="156" t="s">
        <v>298</v>
      </c>
      <c r="AA10" s="156" t="s">
        <v>55</v>
      </c>
      <c r="AB10" s="156" t="s">
        <v>298</v>
      </c>
      <c r="AC10" s="156" t="s">
        <v>298</v>
      </c>
      <c r="AD10" s="157" t="s">
        <v>298</v>
      </c>
      <c r="AF10" s="156" t="s">
        <v>55</v>
      </c>
      <c r="AG10" s="156" t="s">
        <v>298</v>
      </c>
      <c r="AH10" s="156" t="s">
        <v>55</v>
      </c>
      <c r="AI10" s="156" t="s">
        <v>298</v>
      </c>
      <c r="AJ10" s="157" t="s">
        <v>298</v>
      </c>
      <c r="AL10" s="156" t="s">
        <v>55</v>
      </c>
      <c r="AM10" s="156" t="s">
        <v>298</v>
      </c>
      <c r="AN10" s="156" t="s">
        <v>55</v>
      </c>
      <c r="AO10" s="156" t="s">
        <v>298</v>
      </c>
      <c r="AP10" s="157" t="s">
        <v>298</v>
      </c>
      <c r="AR10" s="156" t="s">
        <v>298</v>
      </c>
      <c r="AS10" s="156" t="s">
        <v>55</v>
      </c>
      <c r="AT10" s="156" t="s">
        <v>298</v>
      </c>
      <c r="AU10" s="156" t="s">
        <v>298</v>
      </c>
      <c r="AV10" s="157" t="s">
        <v>55</v>
      </c>
      <c r="AX10" s="156" t="s">
        <v>55</v>
      </c>
      <c r="AY10" s="156" t="s">
        <v>298</v>
      </c>
      <c r="AZ10" s="156" t="s">
        <v>55</v>
      </c>
      <c r="BA10" s="156" t="s">
        <v>298</v>
      </c>
      <c r="BB10" s="157" t="s">
        <v>298</v>
      </c>
      <c r="BD10" s="156"/>
      <c r="BE10" s="156"/>
      <c r="BF10" s="156" t="s">
        <v>55</v>
      </c>
      <c r="BG10" s="156" t="s">
        <v>298</v>
      </c>
      <c r="BH10" s="157" t="s">
        <v>55</v>
      </c>
      <c r="BJ10" s="155" t="str">
        <f t="shared" si="0"/>
        <v>OK</v>
      </c>
      <c r="BK10" t="s">
        <v>1</v>
      </c>
    </row>
    <row r="11" spans="1:63" x14ac:dyDescent="0.35">
      <c r="A11" s="16" t="s">
        <v>2</v>
      </c>
      <c r="B11" s="156" t="s">
        <v>55</v>
      </c>
      <c r="C11" s="156" t="s">
        <v>55</v>
      </c>
      <c r="D11" s="156" t="s">
        <v>55</v>
      </c>
      <c r="E11" s="156" t="s">
        <v>55</v>
      </c>
      <c r="F11" s="157" t="s">
        <v>55</v>
      </c>
      <c r="H11" s="156" t="s">
        <v>298</v>
      </c>
      <c r="I11" s="156" t="s">
        <v>55</v>
      </c>
      <c r="J11" s="156" t="s">
        <v>298</v>
      </c>
      <c r="K11" s="156" t="s">
        <v>298</v>
      </c>
      <c r="L11" s="157" t="s">
        <v>298</v>
      </c>
      <c r="N11" s="156" t="s">
        <v>55</v>
      </c>
      <c r="O11" s="156" t="s">
        <v>298</v>
      </c>
      <c r="P11" s="156" t="s">
        <v>55</v>
      </c>
      <c r="Q11" s="156" t="s">
        <v>298</v>
      </c>
      <c r="R11" s="157" t="s">
        <v>298</v>
      </c>
      <c r="T11" s="156" t="s">
        <v>55</v>
      </c>
      <c r="U11" s="156" t="s">
        <v>55</v>
      </c>
      <c r="V11" s="156" t="s">
        <v>55</v>
      </c>
      <c r="W11" s="156" t="s">
        <v>298</v>
      </c>
      <c r="X11" s="157" t="s">
        <v>55</v>
      </c>
      <c r="Z11" s="156" t="s">
        <v>298</v>
      </c>
      <c r="AA11" s="156" t="s">
        <v>55</v>
      </c>
      <c r="AB11" s="156" t="s">
        <v>298</v>
      </c>
      <c r="AC11" s="156" t="s">
        <v>298</v>
      </c>
      <c r="AD11" s="157" t="s">
        <v>298</v>
      </c>
      <c r="AF11" s="156" t="s">
        <v>55</v>
      </c>
      <c r="AG11" s="156" t="s">
        <v>298</v>
      </c>
      <c r="AH11" s="156" t="s">
        <v>55</v>
      </c>
      <c r="AI11" s="156" t="s">
        <v>298</v>
      </c>
      <c r="AJ11" s="157" t="s">
        <v>298</v>
      </c>
      <c r="AL11" s="156" t="s">
        <v>55</v>
      </c>
      <c r="AM11" s="156" t="s">
        <v>298</v>
      </c>
      <c r="AN11" s="156" t="s">
        <v>55</v>
      </c>
      <c r="AO11" s="156" t="s">
        <v>298</v>
      </c>
      <c r="AP11" s="157" t="s">
        <v>298</v>
      </c>
      <c r="AR11" s="156" t="s">
        <v>298</v>
      </c>
      <c r="AS11" s="156" t="s">
        <v>55</v>
      </c>
      <c r="AT11" s="156" t="s">
        <v>298</v>
      </c>
      <c r="AU11" s="156" t="s">
        <v>298</v>
      </c>
      <c r="AV11" s="157" t="s">
        <v>55</v>
      </c>
      <c r="AX11" s="156" t="s">
        <v>55</v>
      </c>
      <c r="AY11" s="156" t="s">
        <v>298</v>
      </c>
      <c r="AZ11" s="156" t="s">
        <v>55</v>
      </c>
      <c r="BA11" s="156" t="s">
        <v>298</v>
      </c>
      <c r="BB11" s="157" t="s">
        <v>298</v>
      </c>
      <c r="BD11" s="156"/>
      <c r="BE11" s="156"/>
      <c r="BF11" s="156" t="s">
        <v>55</v>
      </c>
      <c r="BG11" s="156" t="s">
        <v>298</v>
      </c>
      <c r="BH11" s="157" t="s">
        <v>55</v>
      </c>
      <c r="BJ11" s="155" t="str">
        <f t="shared" si="0"/>
        <v>OK</v>
      </c>
      <c r="BK11" t="s">
        <v>2</v>
      </c>
    </row>
    <row r="12" spans="1:63" x14ac:dyDescent="0.35">
      <c r="A12" s="16" t="s">
        <v>26</v>
      </c>
      <c r="B12" s="156" t="s">
        <v>55</v>
      </c>
      <c r="C12" s="156" t="s">
        <v>55</v>
      </c>
      <c r="D12" s="156" t="s">
        <v>55</v>
      </c>
      <c r="E12" s="156" t="s">
        <v>55</v>
      </c>
      <c r="F12" s="157" t="s">
        <v>55</v>
      </c>
      <c r="H12" s="156" t="s">
        <v>298</v>
      </c>
      <c r="I12" s="156" t="s">
        <v>55</v>
      </c>
      <c r="J12" s="156" t="s">
        <v>298</v>
      </c>
      <c r="K12" s="156" t="s">
        <v>298</v>
      </c>
      <c r="L12" s="157" t="s">
        <v>298</v>
      </c>
      <c r="N12" s="156" t="s">
        <v>55</v>
      </c>
      <c r="O12" s="156" t="s">
        <v>298</v>
      </c>
      <c r="P12" s="156" t="s">
        <v>55</v>
      </c>
      <c r="Q12" s="156" t="s">
        <v>298</v>
      </c>
      <c r="R12" s="157" t="s">
        <v>298</v>
      </c>
      <c r="T12" s="156" t="s">
        <v>55</v>
      </c>
      <c r="U12" s="156" t="s">
        <v>210</v>
      </c>
      <c r="V12" s="156" t="s">
        <v>55</v>
      </c>
      <c r="W12" s="156" t="s">
        <v>298</v>
      </c>
      <c r="X12" s="157" t="s">
        <v>55</v>
      </c>
      <c r="Z12" s="156" t="s">
        <v>298</v>
      </c>
      <c r="AA12" s="156" t="s">
        <v>210</v>
      </c>
      <c r="AB12" s="156" t="s">
        <v>298</v>
      </c>
      <c r="AC12" s="156" t="s">
        <v>298</v>
      </c>
      <c r="AD12" s="157" t="s">
        <v>298</v>
      </c>
      <c r="AF12" s="156" t="s">
        <v>55</v>
      </c>
      <c r="AG12" s="156" t="s">
        <v>298</v>
      </c>
      <c r="AH12" s="156" t="s">
        <v>55</v>
      </c>
      <c r="AI12" s="156" t="s">
        <v>298</v>
      </c>
      <c r="AJ12" s="157" t="s">
        <v>298</v>
      </c>
      <c r="AL12" s="156" t="s">
        <v>210</v>
      </c>
      <c r="AM12" s="156" t="s">
        <v>298</v>
      </c>
      <c r="AN12" s="156" t="s">
        <v>210</v>
      </c>
      <c r="AO12" s="156" t="s">
        <v>298</v>
      </c>
      <c r="AP12" s="157" t="s">
        <v>298</v>
      </c>
      <c r="AR12" s="156" t="s">
        <v>298</v>
      </c>
      <c r="AS12" s="156" t="s">
        <v>210</v>
      </c>
      <c r="AT12" s="156" t="s">
        <v>298</v>
      </c>
      <c r="AU12" s="156" t="s">
        <v>298</v>
      </c>
      <c r="AV12" s="157" t="s">
        <v>210</v>
      </c>
      <c r="AX12" s="156" t="s">
        <v>210</v>
      </c>
      <c r="AY12" s="156" t="s">
        <v>298</v>
      </c>
      <c r="AZ12" s="156" t="s">
        <v>210</v>
      </c>
      <c r="BA12" s="156" t="s">
        <v>298</v>
      </c>
      <c r="BB12" s="157" t="s">
        <v>298</v>
      </c>
      <c r="BD12" s="156"/>
      <c r="BE12" s="156"/>
      <c r="BF12" s="156" t="s">
        <v>55</v>
      </c>
      <c r="BG12" s="156" t="s">
        <v>298</v>
      </c>
      <c r="BH12" s="157" t="s">
        <v>201</v>
      </c>
      <c r="BJ12" s="155" t="str">
        <f t="shared" si="0"/>
        <v>OK</v>
      </c>
      <c r="BK12" t="s">
        <v>26</v>
      </c>
    </row>
    <row r="13" spans="1:63" x14ac:dyDescent="0.35">
      <c r="A13" s="16" t="s">
        <v>306</v>
      </c>
      <c r="B13" s="156" t="s">
        <v>55</v>
      </c>
      <c r="C13" s="156" t="s">
        <v>55</v>
      </c>
      <c r="D13" s="156" t="s">
        <v>55</v>
      </c>
      <c r="E13" s="156" t="s">
        <v>55</v>
      </c>
      <c r="F13" s="157" t="s">
        <v>55</v>
      </c>
      <c r="H13" s="156" t="s">
        <v>298</v>
      </c>
      <c r="I13" s="156" t="s">
        <v>55</v>
      </c>
      <c r="J13" s="156" t="s">
        <v>298</v>
      </c>
      <c r="K13" s="156" t="s">
        <v>298</v>
      </c>
      <c r="L13" s="157" t="s">
        <v>298</v>
      </c>
      <c r="N13" s="156" t="s">
        <v>55</v>
      </c>
      <c r="O13" s="156" t="s">
        <v>298</v>
      </c>
      <c r="P13" s="156" t="s">
        <v>55</v>
      </c>
      <c r="Q13" s="156" t="s">
        <v>298</v>
      </c>
      <c r="R13" s="157" t="s">
        <v>298</v>
      </c>
      <c r="T13" s="156" t="s">
        <v>55</v>
      </c>
      <c r="U13" s="156" t="s">
        <v>55</v>
      </c>
      <c r="V13" s="156" t="s">
        <v>55</v>
      </c>
      <c r="W13" s="156" t="s">
        <v>298</v>
      </c>
      <c r="X13" s="157" t="s">
        <v>55</v>
      </c>
      <c r="Z13" s="156" t="s">
        <v>298</v>
      </c>
      <c r="AA13" s="156" t="s">
        <v>55</v>
      </c>
      <c r="AB13" s="156" t="s">
        <v>298</v>
      </c>
      <c r="AC13" s="156" t="s">
        <v>298</v>
      </c>
      <c r="AD13" s="157" t="s">
        <v>298</v>
      </c>
      <c r="AF13" s="156" t="s">
        <v>55</v>
      </c>
      <c r="AG13" s="156" t="s">
        <v>298</v>
      </c>
      <c r="AH13" s="156" t="s">
        <v>55</v>
      </c>
      <c r="AI13" s="156" t="s">
        <v>298</v>
      </c>
      <c r="AJ13" s="157" t="s">
        <v>298</v>
      </c>
      <c r="AL13" s="156" t="s">
        <v>210</v>
      </c>
      <c r="AM13" s="156" t="s">
        <v>298</v>
      </c>
      <c r="AN13" s="156" t="s">
        <v>210</v>
      </c>
      <c r="AO13" s="156" t="s">
        <v>298</v>
      </c>
      <c r="AP13" s="157" t="s">
        <v>298</v>
      </c>
      <c r="AR13" s="156" t="s">
        <v>298</v>
      </c>
      <c r="AS13" s="156" t="s">
        <v>55</v>
      </c>
      <c r="AT13" s="156" t="s">
        <v>298</v>
      </c>
      <c r="AU13" s="156" t="s">
        <v>298</v>
      </c>
      <c r="AV13" s="157" t="s">
        <v>210</v>
      </c>
      <c r="AX13" s="156" t="s">
        <v>55</v>
      </c>
      <c r="AY13" s="156" t="s">
        <v>298</v>
      </c>
      <c r="AZ13" s="156" t="s">
        <v>55</v>
      </c>
      <c r="BA13" s="156" t="s">
        <v>298</v>
      </c>
      <c r="BB13" s="157" t="s">
        <v>298</v>
      </c>
      <c r="BD13" s="156"/>
      <c r="BE13" s="156"/>
      <c r="BF13" s="156" t="s">
        <v>210</v>
      </c>
      <c r="BG13" s="156" t="s">
        <v>298</v>
      </c>
      <c r="BH13" s="157" t="s">
        <v>210</v>
      </c>
      <c r="BJ13" s="155" t="str">
        <f t="shared" si="0"/>
        <v>OK</v>
      </c>
      <c r="BK13" t="s">
        <v>306</v>
      </c>
    </row>
    <row r="14" spans="1:63" x14ac:dyDescent="0.35">
      <c r="A14" s="16" t="s">
        <v>3</v>
      </c>
      <c r="B14" s="156" t="s">
        <v>55</v>
      </c>
      <c r="C14" s="156" t="s">
        <v>55</v>
      </c>
      <c r="D14" s="156" t="s">
        <v>55</v>
      </c>
      <c r="E14" s="156" t="s">
        <v>55</v>
      </c>
      <c r="F14" s="157" t="s">
        <v>55</v>
      </c>
      <c r="H14" s="156" t="s">
        <v>298</v>
      </c>
      <c r="I14" s="156" t="s">
        <v>55</v>
      </c>
      <c r="J14" s="156" t="s">
        <v>298</v>
      </c>
      <c r="K14" s="156" t="s">
        <v>298</v>
      </c>
      <c r="L14" s="157" t="s">
        <v>298</v>
      </c>
      <c r="N14" s="156" t="s">
        <v>55</v>
      </c>
      <c r="O14" s="156" t="s">
        <v>298</v>
      </c>
      <c r="P14" s="156" t="s">
        <v>55</v>
      </c>
      <c r="Q14" s="156" t="s">
        <v>298</v>
      </c>
      <c r="R14" s="157" t="s">
        <v>298</v>
      </c>
      <c r="T14" s="156" t="s">
        <v>55</v>
      </c>
      <c r="U14" s="156" t="s">
        <v>55</v>
      </c>
      <c r="V14" s="156" t="s">
        <v>55</v>
      </c>
      <c r="W14" s="156" t="s">
        <v>298</v>
      </c>
      <c r="X14" s="157" t="s">
        <v>55</v>
      </c>
      <c r="Z14" s="156" t="s">
        <v>298</v>
      </c>
      <c r="AA14" s="156" t="s">
        <v>201</v>
      </c>
      <c r="AB14" s="156" t="s">
        <v>298</v>
      </c>
      <c r="AC14" s="156" t="s">
        <v>298</v>
      </c>
      <c r="AD14" s="157" t="s">
        <v>298</v>
      </c>
      <c r="AF14" s="156" t="s">
        <v>55</v>
      </c>
      <c r="AG14" s="156" t="s">
        <v>298</v>
      </c>
      <c r="AH14" s="156" t="s">
        <v>55</v>
      </c>
      <c r="AI14" s="156" t="s">
        <v>298</v>
      </c>
      <c r="AJ14" s="157" t="s">
        <v>298</v>
      </c>
      <c r="AL14" s="156" t="s">
        <v>55</v>
      </c>
      <c r="AM14" s="156" t="s">
        <v>298</v>
      </c>
      <c r="AN14" s="156" t="s">
        <v>55</v>
      </c>
      <c r="AO14" s="156" t="s">
        <v>298</v>
      </c>
      <c r="AP14" s="157" t="s">
        <v>298</v>
      </c>
      <c r="AR14" s="156" t="s">
        <v>298</v>
      </c>
      <c r="AS14" s="156" t="s">
        <v>55</v>
      </c>
      <c r="AT14" s="156" t="s">
        <v>298</v>
      </c>
      <c r="AU14" s="156" t="s">
        <v>298</v>
      </c>
      <c r="AV14" s="157" t="s">
        <v>55</v>
      </c>
      <c r="AX14" s="156" t="s">
        <v>55</v>
      </c>
      <c r="AY14" s="156" t="s">
        <v>298</v>
      </c>
      <c r="AZ14" s="156" t="s">
        <v>55</v>
      </c>
      <c r="BA14" s="156" t="s">
        <v>298</v>
      </c>
      <c r="BB14" s="157" t="s">
        <v>298</v>
      </c>
      <c r="BD14" s="156"/>
      <c r="BE14" s="156"/>
      <c r="BF14" s="156" t="s">
        <v>55</v>
      </c>
      <c r="BG14" s="156" t="s">
        <v>298</v>
      </c>
      <c r="BH14" s="157" t="s">
        <v>55</v>
      </c>
      <c r="BJ14" s="155" t="str">
        <f t="shared" si="0"/>
        <v>OK</v>
      </c>
      <c r="BK14" t="s">
        <v>3</v>
      </c>
    </row>
    <row r="15" spans="1:63" x14ac:dyDescent="0.35">
      <c r="A15" s="16" t="s">
        <v>22</v>
      </c>
      <c r="B15" s="156" t="s">
        <v>201</v>
      </c>
      <c r="C15" s="156" t="s">
        <v>201</v>
      </c>
      <c r="D15" s="156" t="s">
        <v>55</v>
      </c>
      <c r="E15" s="156" t="s">
        <v>201</v>
      </c>
      <c r="F15" s="157" t="s">
        <v>55</v>
      </c>
      <c r="H15" s="156" t="s">
        <v>298</v>
      </c>
      <c r="I15" s="156" t="s">
        <v>201</v>
      </c>
      <c r="J15" s="156" t="s">
        <v>298</v>
      </c>
      <c r="K15" s="156" t="s">
        <v>298</v>
      </c>
      <c r="L15" s="157" t="s">
        <v>298</v>
      </c>
      <c r="N15" s="156" t="s">
        <v>55</v>
      </c>
      <c r="O15" s="156" t="s">
        <v>298</v>
      </c>
      <c r="P15" s="156" t="s">
        <v>55</v>
      </c>
      <c r="Q15" s="156" t="s">
        <v>298</v>
      </c>
      <c r="R15" s="157" t="s">
        <v>298</v>
      </c>
      <c r="T15" s="156" t="s">
        <v>55</v>
      </c>
      <c r="U15" s="156" t="s">
        <v>55</v>
      </c>
      <c r="V15" s="156" t="s">
        <v>201</v>
      </c>
      <c r="W15" s="156" t="s">
        <v>298</v>
      </c>
      <c r="X15" s="157" t="s">
        <v>55</v>
      </c>
      <c r="Z15" s="156" t="s">
        <v>298</v>
      </c>
      <c r="AA15" s="156" t="s">
        <v>55</v>
      </c>
      <c r="AB15" s="156" t="s">
        <v>298</v>
      </c>
      <c r="AC15" s="156" t="s">
        <v>298</v>
      </c>
      <c r="AD15" s="157" t="s">
        <v>298</v>
      </c>
      <c r="AF15" s="156" t="s">
        <v>201</v>
      </c>
      <c r="AG15" s="156" t="s">
        <v>298</v>
      </c>
      <c r="AH15" s="156" t="s">
        <v>201</v>
      </c>
      <c r="AI15" s="156" t="s">
        <v>298</v>
      </c>
      <c r="AJ15" s="157" t="s">
        <v>298</v>
      </c>
      <c r="AL15" s="156" t="s">
        <v>210</v>
      </c>
      <c r="AM15" s="156" t="s">
        <v>298</v>
      </c>
      <c r="AN15" s="156" t="s">
        <v>210</v>
      </c>
      <c r="AO15" s="156" t="s">
        <v>298</v>
      </c>
      <c r="AP15" s="157" t="s">
        <v>298</v>
      </c>
      <c r="AR15" s="156" t="s">
        <v>298</v>
      </c>
      <c r="AS15" s="156" t="s">
        <v>210</v>
      </c>
      <c r="AT15" s="156" t="s">
        <v>298</v>
      </c>
      <c r="AU15" s="156" t="s">
        <v>298</v>
      </c>
      <c r="AV15" s="157" t="s">
        <v>210</v>
      </c>
      <c r="AX15" s="156" t="s">
        <v>55</v>
      </c>
      <c r="AY15" s="156" t="s">
        <v>298</v>
      </c>
      <c r="AZ15" s="156" t="s">
        <v>55</v>
      </c>
      <c r="BA15" s="156" t="s">
        <v>298</v>
      </c>
      <c r="BB15" s="157" t="s">
        <v>298</v>
      </c>
      <c r="BD15" s="156"/>
      <c r="BE15" s="156"/>
      <c r="BF15" s="156" t="s">
        <v>55</v>
      </c>
      <c r="BG15" s="156" t="s">
        <v>298</v>
      </c>
      <c r="BH15" s="157" t="s">
        <v>55</v>
      </c>
      <c r="BJ15" s="155" t="str">
        <f t="shared" si="0"/>
        <v>OK</v>
      </c>
      <c r="BK15" t="s">
        <v>22</v>
      </c>
    </row>
    <row r="16" spans="1:63" x14ac:dyDescent="0.35">
      <c r="A16" s="16" t="s">
        <v>23</v>
      </c>
      <c r="B16" s="156" t="s">
        <v>55</v>
      </c>
      <c r="C16" s="156" t="s">
        <v>55</v>
      </c>
      <c r="D16" s="156" t="s">
        <v>55</v>
      </c>
      <c r="E16" s="156" t="s">
        <v>55</v>
      </c>
      <c r="F16" s="157" t="s">
        <v>55</v>
      </c>
      <c r="H16" s="156" t="s">
        <v>298</v>
      </c>
      <c r="I16" s="156" t="s">
        <v>55</v>
      </c>
      <c r="J16" s="156" t="s">
        <v>298</v>
      </c>
      <c r="K16" s="156" t="s">
        <v>298</v>
      </c>
      <c r="L16" s="157" t="s">
        <v>298</v>
      </c>
      <c r="N16" s="156" t="s">
        <v>55</v>
      </c>
      <c r="O16" s="156" t="s">
        <v>298</v>
      </c>
      <c r="P16" s="156" t="s">
        <v>55</v>
      </c>
      <c r="Q16" s="156" t="s">
        <v>298</v>
      </c>
      <c r="R16" s="157" t="s">
        <v>298</v>
      </c>
      <c r="T16" s="156" t="s">
        <v>55</v>
      </c>
      <c r="U16" s="156" t="s">
        <v>55</v>
      </c>
      <c r="V16" s="156" t="s">
        <v>55</v>
      </c>
      <c r="W16" s="156" t="s">
        <v>298</v>
      </c>
      <c r="X16" s="157" t="s">
        <v>55</v>
      </c>
      <c r="Z16" s="156" t="s">
        <v>298</v>
      </c>
      <c r="AA16" s="156" t="s">
        <v>55</v>
      </c>
      <c r="AB16" s="156" t="s">
        <v>298</v>
      </c>
      <c r="AC16" s="156" t="s">
        <v>298</v>
      </c>
      <c r="AD16" s="157" t="s">
        <v>298</v>
      </c>
      <c r="AF16" s="156" t="s">
        <v>55</v>
      </c>
      <c r="AG16" s="156" t="s">
        <v>298</v>
      </c>
      <c r="AH16" s="156" t="s">
        <v>55</v>
      </c>
      <c r="AI16" s="156" t="s">
        <v>298</v>
      </c>
      <c r="AJ16" s="157" t="s">
        <v>298</v>
      </c>
      <c r="AL16" s="156" t="s">
        <v>210</v>
      </c>
      <c r="AM16" s="156" t="s">
        <v>298</v>
      </c>
      <c r="AN16" s="156" t="s">
        <v>210</v>
      </c>
      <c r="AO16" s="156" t="s">
        <v>298</v>
      </c>
      <c r="AP16" s="157" t="s">
        <v>298</v>
      </c>
      <c r="AR16" s="156" t="s">
        <v>298</v>
      </c>
      <c r="AS16" s="156" t="s">
        <v>210</v>
      </c>
      <c r="AT16" s="156" t="s">
        <v>298</v>
      </c>
      <c r="AU16" s="156" t="s">
        <v>298</v>
      </c>
      <c r="AV16" s="157" t="s">
        <v>210</v>
      </c>
      <c r="AX16" s="156" t="s">
        <v>210</v>
      </c>
      <c r="AY16" s="156" t="s">
        <v>298</v>
      </c>
      <c r="AZ16" s="156" t="s">
        <v>210</v>
      </c>
      <c r="BA16" s="156" t="s">
        <v>298</v>
      </c>
      <c r="BB16" s="157" t="s">
        <v>298</v>
      </c>
      <c r="BD16" s="156"/>
      <c r="BE16" s="156"/>
      <c r="BF16" s="156" t="s">
        <v>55</v>
      </c>
      <c r="BG16" s="156" t="s">
        <v>298</v>
      </c>
      <c r="BH16" s="157" t="s">
        <v>55</v>
      </c>
      <c r="BJ16" s="155" t="str">
        <f t="shared" si="0"/>
        <v>OK</v>
      </c>
      <c r="BK16" t="s">
        <v>23</v>
      </c>
    </row>
    <row r="17" spans="1:63" x14ac:dyDescent="0.35">
      <c r="A17" s="16" t="s">
        <v>4</v>
      </c>
      <c r="B17" s="156" t="s">
        <v>55</v>
      </c>
      <c r="C17" s="156" t="s">
        <v>55</v>
      </c>
      <c r="D17" s="156" t="s">
        <v>55</v>
      </c>
      <c r="E17" s="156" t="s">
        <v>55</v>
      </c>
      <c r="F17" s="157" t="s">
        <v>55</v>
      </c>
      <c r="H17" s="156" t="s">
        <v>298</v>
      </c>
      <c r="I17" s="156" t="s">
        <v>55</v>
      </c>
      <c r="J17" s="156" t="s">
        <v>298</v>
      </c>
      <c r="K17" s="156" t="s">
        <v>298</v>
      </c>
      <c r="L17" s="157" t="s">
        <v>298</v>
      </c>
      <c r="N17" s="156" t="s">
        <v>55</v>
      </c>
      <c r="O17" s="156" t="s">
        <v>298</v>
      </c>
      <c r="P17" s="156" t="s">
        <v>55</v>
      </c>
      <c r="Q17" s="156" t="s">
        <v>298</v>
      </c>
      <c r="R17" s="157" t="s">
        <v>298</v>
      </c>
      <c r="T17" s="156" t="s">
        <v>55</v>
      </c>
      <c r="U17" s="156" t="s">
        <v>55</v>
      </c>
      <c r="V17" s="156" t="s">
        <v>55</v>
      </c>
      <c r="W17" s="156" t="s">
        <v>298</v>
      </c>
      <c r="X17" s="157" t="s">
        <v>55</v>
      </c>
      <c r="Z17" s="156" t="s">
        <v>298</v>
      </c>
      <c r="AA17" s="156" t="s">
        <v>55</v>
      </c>
      <c r="AB17" s="156" t="s">
        <v>298</v>
      </c>
      <c r="AC17" s="156" t="s">
        <v>298</v>
      </c>
      <c r="AD17" s="157" t="s">
        <v>298</v>
      </c>
      <c r="AF17" s="156" t="s">
        <v>55</v>
      </c>
      <c r="AG17" s="156" t="s">
        <v>298</v>
      </c>
      <c r="AH17" s="156" t="s">
        <v>55</v>
      </c>
      <c r="AI17" s="156" t="s">
        <v>298</v>
      </c>
      <c r="AJ17" s="157" t="s">
        <v>298</v>
      </c>
      <c r="AL17" s="156" t="s">
        <v>55</v>
      </c>
      <c r="AM17" s="156" t="s">
        <v>298</v>
      </c>
      <c r="AN17" s="156" t="s">
        <v>55</v>
      </c>
      <c r="AO17" s="156" t="s">
        <v>298</v>
      </c>
      <c r="AP17" s="157" t="s">
        <v>298</v>
      </c>
      <c r="AR17" s="156" t="s">
        <v>298</v>
      </c>
      <c r="AS17" s="156" t="s">
        <v>55</v>
      </c>
      <c r="AT17" s="156" t="s">
        <v>298</v>
      </c>
      <c r="AU17" s="156" t="s">
        <v>298</v>
      </c>
      <c r="AV17" s="157" t="s">
        <v>55</v>
      </c>
      <c r="AX17" s="156" t="s">
        <v>55</v>
      </c>
      <c r="AY17" s="156" t="s">
        <v>298</v>
      </c>
      <c r="AZ17" s="156" t="s">
        <v>55</v>
      </c>
      <c r="BA17" s="156" t="s">
        <v>298</v>
      </c>
      <c r="BB17" s="157" t="s">
        <v>298</v>
      </c>
      <c r="BD17" s="156"/>
      <c r="BE17" s="156"/>
      <c r="BF17" s="156" t="s">
        <v>55</v>
      </c>
      <c r="BG17" s="156" t="s">
        <v>298</v>
      </c>
      <c r="BH17" s="157" t="s">
        <v>55</v>
      </c>
      <c r="BJ17" s="155" t="str">
        <f t="shared" si="0"/>
        <v>OK</v>
      </c>
      <c r="BK17" t="s">
        <v>4</v>
      </c>
    </row>
    <row r="18" spans="1:63" x14ac:dyDescent="0.35">
      <c r="A18" s="16" t="s">
        <v>6</v>
      </c>
      <c r="B18" s="156" t="s">
        <v>55</v>
      </c>
      <c r="C18" s="156" t="s">
        <v>55</v>
      </c>
      <c r="D18" s="156" t="s">
        <v>55</v>
      </c>
      <c r="E18" s="156" t="s">
        <v>55</v>
      </c>
      <c r="F18" s="157" t="s">
        <v>55</v>
      </c>
      <c r="H18" s="156" t="s">
        <v>298</v>
      </c>
      <c r="I18" s="156" t="s">
        <v>55</v>
      </c>
      <c r="J18" s="156" t="s">
        <v>298</v>
      </c>
      <c r="K18" s="156" t="s">
        <v>298</v>
      </c>
      <c r="L18" s="157" t="s">
        <v>298</v>
      </c>
      <c r="N18" s="156" t="s">
        <v>55</v>
      </c>
      <c r="O18" s="156" t="s">
        <v>298</v>
      </c>
      <c r="P18" s="156" t="s">
        <v>55</v>
      </c>
      <c r="Q18" s="156" t="s">
        <v>298</v>
      </c>
      <c r="R18" s="157" t="s">
        <v>298</v>
      </c>
      <c r="T18" s="156" t="s">
        <v>55</v>
      </c>
      <c r="U18" s="156" t="s">
        <v>55</v>
      </c>
      <c r="V18" s="156" t="s">
        <v>55</v>
      </c>
      <c r="W18" s="156" t="s">
        <v>298</v>
      </c>
      <c r="X18" s="157" t="s">
        <v>55</v>
      </c>
      <c r="Z18" s="156" t="s">
        <v>298</v>
      </c>
      <c r="AA18" s="156" t="s">
        <v>55</v>
      </c>
      <c r="AB18" s="156" t="s">
        <v>298</v>
      </c>
      <c r="AC18" s="156" t="s">
        <v>298</v>
      </c>
      <c r="AD18" s="157" t="s">
        <v>298</v>
      </c>
      <c r="AF18" s="156" t="s">
        <v>55</v>
      </c>
      <c r="AG18" s="156" t="s">
        <v>298</v>
      </c>
      <c r="AH18" s="156" t="s">
        <v>55</v>
      </c>
      <c r="AI18" s="156" t="s">
        <v>298</v>
      </c>
      <c r="AJ18" s="157" t="s">
        <v>298</v>
      </c>
      <c r="AL18" s="156" t="s">
        <v>55</v>
      </c>
      <c r="AM18" s="156" t="s">
        <v>298</v>
      </c>
      <c r="AN18" s="156" t="s">
        <v>55</v>
      </c>
      <c r="AO18" s="156" t="s">
        <v>298</v>
      </c>
      <c r="AP18" s="157" t="s">
        <v>298</v>
      </c>
      <c r="AR18" s="156" t="s">
        <v>298</v>
      </c>
      <c r="AS18" s="156" t="s">
        <v>55</v>
      </c>
      <c r="AT18" s="156" t="s">
        <v>298</v>
      </c>
      <c r="AU18" s="156" t="s">
        <v>298</v>
      </c>
      <c r="AV18" s="157" t="s">
        <v>55</v>
      </c>
      <c r="AX18" s="156" t="s">
        <v>55</v>
      </c>
      <c r="AY18" s="156" t="s">
        <v>298</v>
      </c>
      <c r="AZ18" s="156" t="s">
        <v>55</v>
      </c>
      <c r="BA18" s="156" t="s">
        <v>298</v>
      </c>
      <c r="BB18" s="157" t="s">
        <v>298</v>
      </c>
      <c r="BD18" s="156"/>
      <c r="BE18" s="156"/>
      <c r="BF18" s="156" t="s">
        <v>55</v>
      </c>
      <c r="BG18" s="156" t="s">
        <v>298</v>
      </c>
      <c r="BH18" s="157" t="s">
        <v>55</v>
      </c>
      <c r="BJ18" s="155" t="str">
        <f t="shared" si="0"/>
        <v>OK</v>
      </c>
      <c r="BK18" t="s">
        <v>6</v>
      </c>
    </row>
    <row r="19" spans="1:63" x14ac:dyDescent="0.35">
      <c r="A19" s="16" t="s">
        <v>5</v>
      </c>
      <c r="B19" s="156" t="s">
        <v>55</v>
      </c>
      <c r="C19" s="156" t="s">
        <v>55</v>
      </c>
      <c r="D19" s="156" t="s">
        <v>55</v>
      </c>
      <c r="E19" s="156" t="s">
        <v>55</v>
      </c>
      <c r="F19" s="157" t="s">
        <v>55</v>
      </c>
      <c r="H19" s="156" t="s">
        <v>298</v>
      </c>
      <c r="I19" s="156" t="s">
        <v>55</v>
      </c>
      <c r="J19" s="156" t="s">
        <v>298</v>
      </c>
      <c r="K19" s="156" t="s">
        <v>298</v>
      </c>
      <c r="L19" s="157" t="s">
        <v>298</v>
      </c>
      <c r="N19" s="156" t="s">
        <v>55</v>
      </c>
      <c r="O19" s="156" t="s">
        <v>298</v>
      </c>
      <c r="P19" s="156" t="s">
        <v>55</v>
      </c>
      <c r="Q19" s="156" t="s">
        <v>298</v>
      </c>
      <c r="R19" s="157" t="s">
        <v>298</v>
      </c>
      <c r="T19" s="156" t="s">
        <v>55</v>
      </c>
      <c r="U19" s="156" t="s">
        <v>55</v>
      </c>
      <c r="V19" s="156" t="s">
        <v>55</v>
      </c>
      <c r="W19" s="156" t="s">
        <v>298</v>
      </c>
      <c r="X19" s="157" t="s">
        <v>55</v>
      </c>
      <c r="Z19" s="156" t="s">
        <v>298</v>
      </c>
      <c r="AA19" s="156" t="s">
        <v>55</v>
      </c>
      <c r="AB19" s="156" t="s">
        <v>298</v>
      </c>
      <c r="AC19" s="156" t="s">
        <v>298</v>
      </c>
      <c r="AD19" s="157" t="s">
        <v>298</v>
      </c>
      <c r="AF19" s="156" t="s">
        <v>55</v>
      </c>
      <c r="AG19" s="156" t="s">
        <v>298</v>
      </c>
      <c r="AH19" s="156" t="s">
        <v>55</v>
      </c>
      <c r="AI19" s="156" t="s">
        <v>298</v>
      </c>
      <c r="AJ19" s="157" t="s">
        <v>298</v>
      </c>
      <c r="AL19" s="156" t="s">
        <v>55</v>
      </c>
      <c r="AM19" s="156" t="s">
        <v>298</v>
      </c>
      <c r="AN19" s="156" t="s">
        <v>55</v>
      </c>
      <c r="AO19" s="156" t="s">
        <v>298</v>
      </c>
      <c r="AP19" s="157" t="s">
        <v>298</v>
      </c>
      <c r="AR19" s="156" t="s">
        <v>298</v>
      </c>
      <c r="AS19" s="156" t="s">
        <v>210</v>
      </c>
      <c r="AT19" s="156" t="s">
        <v>298</v>
      </c>
      <c r="AU19" s="156" t="s">
        <v>298</v>
      </c>
      <c r="AV19" s="157" t="s">
        <v>210</v>
      </c>
      <c r="AX19" s="156" t="s">
        <v>55</v>
      </c>
      <c r="AY19" s="156" t="s">
        <v>298</v>
      </c>
      <c r="AZ19" s="156" t="s">
        <v>55</v>
      </c>
      <c r="BA19" s="156" t="s">
        <v>298</v>
      </c>
      <c r="BB19" s="157" t="s">
        <v>298</v>
      </c>
      <c r="BD19" s="156"/>
      <c r="BE19" s="156"/>
      <c r="BF19" s="156" t="s">
        <v>55</v>
      </c>
      <c r="BG19" s="156" t="s">
        <v>298</v>
      </c>
      <c r="BH19" s="157" t="s">
        <v>55</v>
      </c>
      <c r="BJ19" s="155" t="str">
        <f t="shared" si="0"/>
        <v>OK</v>
      </c>
      <c r="BK19" t="s">
        <v>5</v>
      </c>
    </row>
    <row r="20" spans="1:63" x14ac:dyDescent="0.35">
      <c r="A20" s="16" t="s">
        <v>24</v>
      </c>
      <c r="B20" s="156" t="s">
        <v>55</v>
      </c>
      <c r="C20" s="156" t="s">
        <v>55</v>
      </c>
      <c r="D20" s="156" t="s">
        <v>55</v>
      </c>
      <c r="E20" s="156" t="s">
        <v>55</v>
      </c>
      <c r="F20" s="157" t="s">
        <v>55</v>
      </c>
      <c r="H20" s="156" t="s">
        <v>298</v>
      </c>
      <c r="I20" s="156" t="s">
        <v>55</v>
      </c>
      <c r="J20" s="156" t="s">
        <v>298</v>
      </c>
      <c r="K20" s="156" t="s">
        <v>298</v>
      </c>
      <c r="L20" s="157" t="s">
        <v>298</v>
      </c>
      <c r="N20" s="156" t="s">
        <v>55</v>
      </c>
      <c r="O20" s="156" t="s">
        <v>298</v>
      </c>
      <c r="P20" s="156" t="s">
        <v>55</v>
      </c>
      <c r="Q20" s="156" t="s">
        <v>298</v>
      </c>
      <c r="R20" s="157" t="s">
        <v>298</v>
      </c>
      <c r="T20" s="156" t="s">
        <v>55</v>
      </c>
      <c r="U20" s="156" t="s">
        <v>210</v>
      </c>
      <c r="V20" s="156" t="s">
        <v>55</v>
      </c>
      <c r="W20" s="156" t="s">
        <v>298</v>
      </c>
      <c r="X20" s="157" t="s">
        <v>210</v>
      </c>
      <c r="Z20" s="156" t="s">
        <v>298</v>
      </c>
      <c r="AA20" s="156" t="s">
        <v>210</v>
      </c>
      <c r="AB20" s="156" t="s">
        <v>298</v>
      </c>
      <c r="AC20" s="156" t="s">
        <v>298</v>
      </c>
      <c r="AD20" s="157" t="s">
        <v>298</v>
      </c>
      <c r="AF20" s="156" t="s">
        <v>55</v>
      </c>
      <c r="AG20" s="156" t="s">
        <v>298</v>
      </c>
      <c r="AH20" s="156" t="s">
        <v>55</v>
      </c>
      <c r="AI20" s="156" t="s">
        <v>298</v>
      </c>
      <c r="AJ20" s="157" t="s">
        <v>298</v>
      </c>
      <c r="AL20" s="156" t="s">
        <v>210</v>
      </c>
      <c r="AM20" s="156" t="s">
        <v>298</v>
      </c>
      <c r="AN20" s="156" t="s">
        <v>210</v>
      </c>
      <c r="AO20" s="156" t="s">
        <v>298</v>
      </c>
      <c r="AP20" s="157" t="s">
        <v>298</v>
      </c>
      <c r="AR20" s="156" t="s">
        <v>298</v>
      </c>
      <c r="AS20" s="156" t="s">
        <v>210</v>
      </c>
      <c r="AT20" s="156" t="s">
        <v>298</v>
      </c>
      <c r="AU20" s="156" t="s">
        <v>298</v>
      </c>
      <c r="AV20" s="157" t="s">
        <v>210</v>
      </c>
      <c r="AX20" s="156" t="s">
        <v>210</v>
      </c>
      <c r="AY20" s="156" t="s">
        <v>298</v>
      </c>
      <c r="AZ20" s="156" t="s">
        <v>210</v>
      </c>
      <c r="BA20" s="156" t="s">
        <v>298</v>
      </c>
      <c r="BB20" s="157" t="s">
        <v>298</v>
      </c>
      <c r="BD20" s="156"/>
      <c r="BE20" s="156"/>
      <c r="BF20" s="156" t="s">
        <v>210</v>
      </c>
      <c r="BG20" s="156" t="s">
        <v>298</v>
      </c>
      <c r="BH20" s="157" t="s">
        <v>210</v>
      </c>
      <c r="BJ20" s="155" t="str">
        <f t="shared" si="0"/>
        <v>OK</v>
      </c>
      <c r="BK20" t="s">
        <v>24</v>
      </c>
    </row>
    <row r="21" spans="1:63" x14ac:dyDescent="0.35">
      <c r="A21" s="16" t="s">
        <v>7</v>
      </c>
      <c r="B21" s="156" t="s">
        <v>55</v>
      </c>
      <c r="C21" s="156" t="s">
        <v>55</v>
      </c>
      <c r="D21" s="156" t="s">
        <v>55</v>
      </c>
      <c r="E21" s="156" t="s">
        <v>55</v>
      </c>
      <c r="F21" s="157" t="s">
        <v>55</v>
      </c>
      <c r="H21" s="156" t="s">
        <v>298</v>
      </c>
      <c r="I21" s="156" t="s">
        <v>55</v>
      </c>
      <c r="J21" s="156" t="s">
        <v>298</v>
      </c>
      <c r="K21" s="156" t="s">
        <v>298</v>
      </c>
      <c r="L21" s="157" t="s">
        <v>298</v>
      </c>
      <c r="N21" s="156" t="s">
        <v>55</v>
      </c>
      <c r="O21" s="156" t="s">
        <v>298</v>
      </c>
      <c r="P21" s="156" t="s">
        <v>55</v>
      </c>
      <c r="Q21" s="156" t="s">
        <v>298</v>
      </c>
      <c r="R21" s="157" t="s">
        <v>298</v>
      </c>
      <c r="T21" s="156" t="s">
        <v>55</v>
      </c>
      <c r="U21" s="156" t="s">
        <v>55</v>
      </c>
      <c r="V21" s="156" t="s">
        <v>55</v>
      </c>
      <c r="W21" s="156" t="s">
        <v>298</v>
      </c>
      <c r="X21" s="157" t="s">
        <v>55</v>
      </c>
      <c r="Z21" s="156" t="s">
        <v>298</v>
      </c>
      <c r="AA21" s="156" t="s">
        <v>55</v>
      </c>
      <c r="AB21" s="156" t="s">
        <v>298</v>
      </c>
      <c r="AC21" s="156" t="s">
        <v>298</v>
      </c>
      <c r="AD21" s="157" t="s">
        <v>298</v>
      </c>
      <c r="AF21" s="156" t="s">
        <v>55</v>
      </c>
      <c r="AG21" s="156" t="s">
        <v>298</v>
      </c>
      <c r="AH21" s="156" t="s">
        <v>55</v>
      </c>
      <c r="AI21" s="156" t="s">
        <v>298</v>
      </c>
      <c r="AJ21" s="157" t="s">
        <v>298</v>
      </c>
      <c r="AL21" s="156" t="s">
        <v>210</v>
      </c>
      <c r="AM21" s="156" t="s">
        <v>298</v>
      </c>
      <c r="AN21" s="156" t="s">
        <v>210</v>
      </c>
      <c r="AO21" s="156" t="s">
        <v>298</v>
      </c>
      <c r="AP21" s="157" t="s">
        <v>298</v>
      </c>
      <c r="AR21" s="156" t="s">
        <v>298</v>
      </c>
      <c r="AS21" s="156" t="s">
        <v>55</v>
      </c>
      <c r="AT21" s="156" t="s">
        <v>298</v>
      </c>
      <c r="AU21" s="156" t="s">
        <v>298</v>
      </c>
      <c r="AV21" s="157" t="s">
        <v>55</v>
      </c>
      <c r="AX21" s="156" t="s">
        <v>55</v>
      </c>
      <c r="AY21" s="156" t="s">
        <v>298</v>
      </c>
      <c r="AZ21" s="156" t="s">
        <v>55</v>
      </c>
      <c r="BA21" s="156" t="s">
        <v>298</v>
      </c>
      <c r="BB21" s="157" t="s">
        <v>298</v>
      </c>
      <c r="BD21" s="156"/>
      <c r="BE21" s="156"/>
      <c r="BF21" s="156" t="s">
        <v>55</v>
      </c>
      <c r="BG21" s="156" t="s">
        <v>298</v>
      </c>
      <c r="BH21" s="157" t="s">
        <v>55</v>
      </c>
      <c r="BJ21" s="155" t="str">
        <f t="shared" si="0"/>
        <v>OK</v>
      </c>
      <c r="BK21" t="s">
        <v>7</v>
      </c>
    </row>
    <row r="22" spans="1:63" x14ac:dyDescent="0.35">
      <c r="A22" s="16" t="s">
        <v>8</v>
      </c>
      <c r="B22" s="156" t="s">
        <v>55</v>
      </c>
      <c r="C22" s="156" t="s">
        <v>55</v>
      </c>
      <c r="D22" s="156" t="s">
        <v>55</v>
      </c>
      <c r="E22" s="156" t="s">
        <v>55</v>
      </c>
      <c r="F22" s="157" t="s">
        <v>55</v>
      </c>
      <c r="H22" s="156" t="s">
        <v>298</v>
      </c>
      <c r="I22" s="156" t="s">
        <v>55</v>
      </c>
      <c r="J22" s="156" t="s">
        <v>298</v>
      </c>
      <c r="K22" s="156" t="s">
        <v>298</v>
      </c>
      <c r="L22" s="157" t="s">
        <v>298</v>
      </c>
      <c r="N22" s="156" t="s">
        <v>55</v>
      </c>
      <c r="O22" s="156" t="s">
        <v>298</v>
      </c>
      <c r="P22" s="156" t="s">
        <v>55</v>
      </c>
      <c r="Q22" s="156" t="s">
        <v>298</v>
      </c>
      <c r="R22" s="157" t="s">
        <v>298</v>
      </c>
      <c r="T22" s="156" t="s">
        <v>55</v>
      </c>
      <c r="U22" s="156" t="s">
        <v>210</v>
      </c>
      <c r="V22" s="156" t="s">
        <v>55</v>
      </c>
      <c r="W22" s="156" t="s">
        <v>298</v>
      </c>
      <c r="X22" s="157" t="s">
        <v>55</v>
      </c>
      <c r="Z22" s="156" t="s">
        <v>298</v>
      </c>
      <c r="AA22" s="156" t="s">
        <v>55</v>
      </c>
      <c r="AB22" s="156" t="s">
        <v>298</v>
      </c>
      <c r="AC22" s="156" t="s">
        <v>298</v>
      </c>
      <c r="AD22" s="157" t="s">
        <v>298</v>
      </c>
      <c r="AF22" s="156" t="s">
        <v>55</v>
      </c>
      <c r="AG22" s="156" t="s">
        <v>298</v>
      </c>
      <c r="AH22" s="156" t="s">
        <v>55</v>
      </c>
      <c r="AI22" s="156" t="s">
        <v>298</v>
      </c>
      <c r="AJ22" s="157" t="s">
        <v>298</v>
      </c>
      <c r="AL22" s="156" t="s">
        <v>210</v>
      </c>
      <c r="AM22" s="156" t="s">
        <v>298</v>
      </c>
      <c r="AN22" s="156" t="s">
        <v>210</v>
      </c>
      <c r="AO22" s="156" t="s">
        <v>298</v>
      </c>
      <c r="AP22" s="157" t="s">
        <v>298</v>
      </c>
      <c r="AR22" s="156" t="s">
        <v>298</v>
      </c>
      <c r="AS22" s="156" t="s">
        <v>55</v>
      </c>
      <c r="AT22" s="156" t="s">
        <v>298</v>
      </c>
      <c r="AU22" s="156" t="s">
        <v>298</v>
      </c>
      <c r="AV22" s="157" t="s">
        <v>55</v>
      </c>
      <c r="AX22" s="156" t="s">
        <v>55</v>
      </c>
      <c r="AY22" s="156" t="s">
        <v>298</v>
      </c>
      <c r="AZ22" s="156" t="s">
        <v>55</v>
      </c>
      <c r="BA22" s="156" t="s">
        <v>298</v>
      </c>
      <c r="BB22" s="157" t="s">
        <v>298</v>
      </c>
      <c r="BD22" s="156"/>
      <c r="BE22" s="156"/>
      <c r="BF22" s="156" t="s">
        <v>55</v>
      </c>
      <c r="BG22" s="156" t="s">
        <v>298</v>
      </c>
      <c r="BH22" s="157" t="s">
        <v>55</v>
      </c>
      <c r="BJ22" s="155" t="str">
        <f t="shared" si="0"/>
        <v>OK</v>
      </c>
      <c r="BK22" t="s">
        <v>8</v>
      </c>
    </row>
    <row r="23" spans="1:63" x14ac:dyDescent="0.35">
      <c r="A23" s="16" t="s">
        <v>19</v>
      </c>
      <c r="B23" s="156" t="s">
        <v>55</v>
      </c>
      <c r="C23" s="156" t="s">
        <v>55</v>
      </c>
      <c r="D23" s="156" t="s">
        <v>55</v>
      </c>
      <c r="E23" s="156" t="s">
        <v>55</v>
      </c>
      <c r="F23" s="157" t="s">
        <v>55</v>
      </c>
      <c r="H23" s="156" t="s">
        <v>298</v>
      </c>
      <c r="I23" s="156" t="s">
        <v>55</v>
      </c>
      <c r="J23" s="156" t="s">
        <v>298</v>
      </c>
      <c r="K23" s="156" t="s">
        <v>298</v>
      </c>
      <c r="L23" s="157" t="s">
        <v>298</v>
      </c>
      <c r="N23" s="156" t="s">
        <v>55</v>
      </c>
      <c r="O23" s="156" t="s">
        <v>298</v>
      </c>
      <c r="P23" s="156" t="s">
        <v>55</v>
      </c>
      <c r="Q23" s="156" t="s">
        <v>298</v>
      </c>
      <c r="R23" s="157" t="s">
        <v>298</v>
      </c>
      <c r="T23" s="156" t="s">
        <v>55</v>
      </c>
      <c r="U23" s="156" t="s">
        <v>55</v>
      </c>
      <c r="V23" s="156" t="s">
        <v>55</v>
      </c>
      <c r="W23" s="156" t="s">
        <v>298</v>
      </c>
      <c r="X23" s="157" t="s">
        <v>55</v>
      </c>
      <c r="Z23" s="156" t="s">
        <v>298</v>
      </c>
      <c r="AA23" s="156" t="s">
        <v>55</v>
      </c>
      <c r="AB23" s="156" t="s">
        <v>298</v>
      </c>
      <c r="AC23" s="156" t="s">
        <v>298</v>
      </c>
      <c r="AD23" s="157" t="s">
        <v>298</v>
      </c>
      <c r="AF23" s="156" t="s">
        <v>55</v>
      </c>
      <c r="AG23" s="156" t="s">
        <v>298</v>
      </c>
      <c r="AH23" s="156" t="s">
        <v>55</v>
      </c>
      <c r="AI23" s="156" t="s">
        <v>298</v>
      </c>
      <c r="AJ23" s="157" t="s">
        <v>298</v>
      </c>
      <c r="AL23" s="156" t="s">
        <v>55</v>
      </c>
      <c r="AM23" s="156" t="s">
        <v>298</v>
      </c>
      <c r="AN23" s="156" t="s">
        <v>55</v>
      </c>
      <c r="AO23" s="156" t="s">
        <v>298</v>
      </c>
      <c r="AP23" s="157" t="s">
        <v>298</v>
      </c>
      <c r="AR23" s="156" t="s">
        <v>298</v>
      </c>
      <c r="AS23" s="156" t="s">
        <v>55</v>
      </c>
      <c r="AT23" s="156" t="s">
        <v>298</v>
      </c>
      <c r="AU23" s="156" t="s">
        <v>298</v>
      </c>
      <c r="AV23" s="157" t="s">
        <v>55</v>
      </c>
      <c r="AX23" s="156" t="s">
        <v>55</v>
      </c>
      <c r="AY23" s="156" t="s">
        <v>298</v>
      </c>
      <c r="AZ23" s="156" t="s">
        <v>55</v>
      </c>
      <c r="BA23" s="156" t="s">
        <v>298</v>
      </c>
      <c r="BB23" s="157" t="s">
        <v>298</v>
      </c>
      <c r="BD23" s="156"/>
      <c r="BE23" s="156"/>
      <c r="BF23" s="156" t="s">
        <v>55</v>
      </c>
      <c r="BG23" s="156" t="s">
        <v>298</v>
      </c>
      <c r="BH23" s="157" t="s">
        <v>55</v>
      </c>
      <c r="BJ23" s="155" t="str">
        <f t="shared" si="0"/>
        <v>OK</v>
      </c>
      <c r="BK23" t="s">
        <v>19</v>
      </c>
    </row>
    <row r="24" spans="1:63" x14ac:dyDescent="0.35">
      <c r="A24" s="16" t="s">
        <v>20</v>
      </c>
      <c r="B24" s="156" t="s">
        <v>55</v>
      </c>
      <c r="C24" s="156" t="s">
        <v>55</v>
      </c>
      <c r="D24" s="156" t="s">
        <v>55</v>
      </c>
      <c r="E24" s="156" t="s">
        <v>55</v>
      </c>
      <c r="F24" s="157" t="s">
        <v>55</v>
      </c>
      <c r="H24" s="156" t="s">
        <v>298</v>
      </c>
      <c r="I24" s="156" t="s">
        <v>55</v>
      </c>
      <c r="J24" s="156" t="s">
        <v>298</v>
      </c>
      <c r="K24" s="156" t="s">
        <v>298</v>
      </c>
      <c r="L24" s="157" t="s">
        <v>298</v>
      </c>
      <c r="N24" s="156" t="s">
        <v>55</v>
      </c>
      <c r="O24" s="156" t="s">
        <v>298</v>
      </c>
      <c r="P24" s="156" t="s">
        <v>55</v>
      </c>
      <c r="Q24" s="156" t="s">
        <v>298</v>
      </c>
      <c r="R24" s="157" t="s">
        <v>298</v>
      </c>
      <c r="T24" s="156" t="s">
        <v>55</v>
      </c>
      <c r="U24" s="156" t="s">
        <v>210</v>
      </c>
      <c r="V24" s="156" t="s">
        <v>55</v>
      </c>
      <c r="W24" s="156" t="s">
        <v>298</v>
      </c>
      <c r="X24" s="157" t="s">
        <v>210</v>
      </c>
      <c r="Z24" s="156" t="s">
        <v>298</v>
      </c>
      <c r="AA24" s="156" t="s">
        <v>210</v>
      </c>
      <c r="AB24" s="156" t="s">
        <v>298</v>
      </c>
      <c r="AC24" s="156" t="s">
        <v>298</v>
      </c>
      <c r="AD24" s="157" t="s">
        <v>298</v>
      </c>
      <c r="AF24" s="156" t="s">
        <v>55</v>
      </c>
      <c r="AG24" s="156" t="s">
        <v>298</v>
      </c>
      <c r="AH24" s="156" t="s">
        <v>55</v>
      </c>
      <c r="AI24" s="156" t="s">
        <v>298</v>
      </c>
      <c r="AJ24" s="157" t="s">
        <v>298</v>
      </c>
      <c r="AL24" s="156" t="s">
        <v>210</v>
      </c>
      <c r="AM24" s="156" t="s">
        <v>298</v>
      </c>
      <c r="AN24" s="156" t="s">
        <v>210</v>
      </c>
      <c r="AO24" s="156" t="s">
        <v>298</v>
      </c>
      <c r="AP24" s="157" t="s">
        <v>298</v>
      </c>
      <c r="AR24" s="156" t="s">
        <v>298</v>
      </c>
      <c r="AS24" s="156" t="s">
        <v>210</v>
      </c>
      <c r="AT24" s="156" t="s">
        <v>298</v>
      </c>
      <c r="AU24" s="156" t="s">
        <v>298</v>
      </c>
      <c r="AV24" s="157" t="s">
        <v>210</v>
      </c>
      <c r="AX24" s="156" t="s">
        <v>210</v>
      </c>
      <c r="AY24" s="156" t="s">
        <v>298</v>
      </c>
      <c r="AZ24" s="156" t="s">
        <v>210</v>
      </c>
      <c r="BA24" s="156" t="s">
        <v>298</v>
      </c>
      <c r="BB24" s="157" t="s">
        <v>298</v>
      </c>
      <c r="BD24" s="156"/>
      <c r="BE24" s="156"/>
      <c r="BF24" s="156" t="s">
        <v>210</v>
      </c>
      <c r="BG24" s="156" t="s">
        <v>298</v>
      </c>
      <c r="BH24" s="157" t="s">
        <v>210</v>
      </c>
      <c r="BJ24" s="155" t="str">
        <f t="shared" si="0"/>
        <v>OK</v>
      </c>
      <c r="BK24" t="s">
        <v>20</v>
      </c>
    </row>
    <row r="25" spans="1:63" x14ac:dyDescent="0.35">
      <c r="A25" s="16" t="s">
        <v>27</v>
      </c>
      <c r="B25" s="156" t="s">
        <v>55</v>
      </c>
      <c r="C25" s="156" t="s">
        <v>55</v>
      </c>
      <c r="D25" s="156" t="s">
        <v>55</v>
      </c>
      <c r="E25" s="156" t="s">
        <v>55</v>
      </c>
      <c r="F25" s="157" t="s">
        <v>55</v>
      </c>
      <c r="H25" s="156" t="s">
        <v>298</v>
      </c>
      <c r="I25" s="156" t="s">
        <v>55</v>
      </c>
      <c r="J25" s="156" t="s">
        <v>298</v>
      </c>
      <c r="K25" s="156" t="s">
        <v>298</v>
      </c>
      <c r="L25" s="157" t="s">
        <v>298</v>
      </c>
      <c r="N25" s="156" t="s">
        <v>55</v>
      </c>
      <c r="O25" s="156" t="s">
        <v>298</v>
      </c>
      <c r="P25" s="156" t="s">
        <v>360</v>
      </c>
      <c r="Q25" s="156" t="s">
        <v>298</v>
      </c>
      <c r="R25" s="157" t="s">
        <v>298</v>
      </c>
      <c r="T25" s="156" t="s">
        <v>55</v>
      </c>
      <c r="U25" s="156" t="s">
        <v>55</v>
      </c>
      <c r="V25" s="156" t="s">
        <v>55</v>
      </c>
      <c r="W25" s="156" t="s">
        <v>298</v>
      </c>
      <c r="X25" s="157" t="s">
        <v>55</v>
      </c>
      <c r="Z25" s="156" t="s">
        <v>298</v>
      </c>
      <c r="AA25" s="156" t="s">
        <v>210</v>
      </c>
      <c r="AB25" s="156" t="s">
        <v>298</v>
      </c>
      <c r="AC25" s="156" t="s">
        <v>298</v>
      </c>
      <c r="AD25" s="157" t="s">
        <v>298</v>
      </c>
      <c r="AF25" s="156" t="s">
        <v>55</v>
      </c>
      <c r="AG25" s="156" t="s">
        <v>298</v>
      </c>
      <c r="AH25" s="156" t="s">
        <v>55</v>
      </c>
      <c r="AI25" s="156" t="s">
        <v>298</v>
      </c>
      <c r="AJ25" s="157" t="s">
        <v>298</v>
      </c>
      <c r="AL25" s="156" t="s">
        <v>210</v>
      </c>
      <c r="AM25" s="156" t="s">
        <v>298</v>
      </c>
      <c r="AN25" s="156" t="s">
        <v>210</v>
      </c>
      <c r="AO25" s="156" t="s">
        <v>298</v>
      </c>
      <c r="AP25" s="157" t="s">
        <v>298</v>
      </c>
      <c r="AR25" s="156" t="s">
        <v>298</v>
      </c>
      <c r="AS25" s="156" t="s">
        <v>201</v>
      </c>
      <c r="AT25" s="156" t="s">
        <v>298</v>
      </c>
      <c r="AU25" s="156" t="s">
        <v>298</v>
      </c>
      <c r="AV25" s="157" t="s">
        <v>55</v>
      </c>
      <c r="AX25" s="156" t="s">
        <v>55</v>
      </c>
      <c r="AY25" s="156" t="s">
        <v>298</v>
      </c>
      <c r="AZ25" s="156" t="s">
        <v>360</v>
      </c>
      <c r="BA25" s="156" t="s">
        <v>298</v>
      </c>
      <c r="BB25" s="157" t="s">
        <v>298</v>
      </c>
      <c r="BD25" s="156"/>
      <c r="BE25" s="156"/>
      <c r="BF25" s="156" t="s">
        <v>360</v>
      </c>
      <c r="BG25" s="156" t="s">
        <v>298</v>
      </c>
      <c r="BH25" s="157" t="s">
        <v>55</v>
      </c>
      <c r="BJ25" s="155" t="str">
        <f t="shared" si="0"/>
        <v>OK</v>
      </c>
      <c r="BK25" t="s">
        <v>27</v>
      </c>
    </row>
    <row r="26" spans="1:63" x14ac:dyDescent="0.35">
      <c r="A26" s="16" t="s">
        <v>9</v>
      </c>
      <c r="B26" s="156" t="s">
        <v>55</v>
      </c>
      <c r="C26" s="156" t="s">
        <v>55</v>
      </c>
      <c r="D26" s="156" t="s">
        <v>201</v>
      </c>
      <c r="E26" s="156" t="s">
        <v>55</v>
      </c>
      <c r="F26" s="157" t="s">
        <v>55</v>
      </c>
      <c r="H26" s="156" t="s">
        <v>298</v>
      </c>
      <c r="I26" s="156" t="s">
        <v>55</v>
      </c>
      <c r="J26" s="156" t="s">
        <v>298</v>
      </c>
      <c r="K26" s="156" t="s">
        <v>298</v>
      </c>
      <c r="L26" s="157" t="s">
        <v>298</v>
      </c>
      <c r="N26" s="156" t="s">
        <v>55</v>
      </c>
      <c r="O26" s="156" t="s">
        <v>298</v>
      </c>
      <c r="P26" s="156" t="s">
        <v>55</v>
      </c>
      <c r="Q26" s="156" t="s">
        <v>298</v>
      </c>
      <c r="R26" s="157" t="s">
        <v>298</v>
      </c>
      <c r="T26" s="156" t="s">
        <v>201</v>
      </c>
      <c r="U26" s="156" t="s">
        <v>55</v>
      </c>
      <c r="V26" s="156" t="s">
        <v>201</v>
      </c>
      <c r="W26" s="156" t="s">
        <v>298</v>
      </c>
      <c r="X26" s="157" t="s">
        <v>55</v>
      </c>
      <c r="Z26" s="156" t="s">
        <v>298</v>
      </c>
      <c r="AA26" s="156" t="s">
        <v>55</v>
      </c>
      <c r="AB26" s="156" t="s">
        <v>298</v>
      </c>
      <c r="AC26" s="156" t="s">
        <v>298</v>
      </c>
      <c r="AD26" s="157" t="s">
        <v>298</v>
      </c>
      <c r="AF26" s="156" t="s">
        <v>55</v>
      </c>
      <c r="AG26" s="156" t="s">
        <v>298</v>
      </c>
      <c r="AH26" s="156" t="s">
        <v>201</v>
      </c>
      <c r="AI26" s="156" t="s">
        <v>298</v>
      </c>
      <c r="AJ26" s="157" t="s">
        <v>298</v>
      </c>
      <c r="AL26" s="156" t="s">
        <v>55</v>
      </c>
      <c r="AM26" s="156" t="s">
        <v>298</v>
      </c>
      <c r="AN26" s="156" t="s">
        <v>55</v>
      </c>
      <c r="AO26" s="156" t="s">
        <v>298</v>
      </c>
      <c r="AP26" s="157" t="s">
        <v>298</v>
      </c>
      <c r="AR26" s="156" t="s">
        <v>298</v>
      </c>
      <c r="AS26" s="156" t="s">
        <v>55</v>
      </c>
      <c r="AT26" s="156" t="s">
        <v>298</v>
      </c>
      <c r="AU26" s="156" t="s">
        <v>298</v>
      </c>
      <c r="AV26" s="157" t="s">
        <v>201</v>
      </c>
      <c r="AX26" s="156" t="s">
        <v>55</v>
      </c>
      <c r="AY26" s="156" t="s">
        <v>298</v>
      </c>
      <c r="AZ26" s="156" t="s">
        <v>55</v>
      </c>
      <c r="BA26" s="156" t="s">
        <v>298</v>
      </c>
      <c r="BB26" s="157" t="s">
        <v>298</v>
      </c>
      <c r="BD26" s="156"/>
      <c r="BE26" s="156"/>
      <c r="BF26" s="156" t="s">
        <v>55</v>
      </c>
      <c r="BG26" s="156" t="s">
        <v>298</v>
      </c>
      <c r="BH26" s="157" t="s">
        <v>55</v>
      </c>
      <c r="BJ26" s="155" t="str">
        <f t="shared" si="0"/>
        <v>OK</v>
      </c>
      <c r="BK26" t="s">
        <v>9</v>
      </c>
    </row>
    <row r="27" spans="1:63" x14ac:dyDescent="0.35">
      <c r="A27" s="16" t="s">
        <v>342</v>
      </c>
      <c r="B27" s="156" t="s">
        <v>55</v>
      </c>
      <c r="C27" s="156" t="s">
        <v>55</v>
      </c>
      <c r="D27" s="156" t="s">
        <v>55</v>
      </c>
      <c r="E27" s="156" t="s">
        <v>55</v>
      </c>
      <c r="F27" s="157" t="s">
        <v>201</v>
      </c>
      <c r="H27" s="156" t="s">
        <v>298</v>
      </c>
      <c r="I27" s="156" t="s">
        <v>55</v>
      </c>
      <c r="J27" s="156" t="s">
        <v>298</v>
      </c>
      <c r="K27" s="156" t="s">
        <v>298</v>
      </c>
      <c r="L27" s="157" t="s">
        <v>298</v>
      </c>
      <c r="N27" s="156" t="s">
        <v>55</v>
      </c>
      <c r="O27" s="156" t="s">
        <v>298</v>
      </c>
      <c r="P27" s="156" t="s">
        <v>55</v>
      </c>
      <c r="Q27" s="156" t="s">
        <v>298</v>
      </c>
      <c r="R27" s="157" t="s">
        <v>298</v>
      </c>
      <c r="T27" s="156" t="s">
        <v>55</v>
      </c>
      <c r="U27" s="156" t="s">
        <v>55</v>
      </c>
      <c r="V27" s="156" t="s">
        <v>201</v>
      </c>
      <c r="W27" s="156" t="s">
        <v>298</v>
      </c>
      <c r="X27" s="157" t="s">
        <v>55</v>
      </c>
      <c r="Z27" s="156" t="s">
        <v>298</v>
      </c>
      <c r="AA27" s="156" t="s">
        <v>201</v>
      </c>
      <c r="AB27" s="156" t="s">
        <v>298</v>
      </c>
      <c r="AC27" s="156" t="s">
        <v>298</v>
      </c>
      <c r="AD27" s="157" t="s">
        <v>298</v>
      </c>
      <c r="AF27" s="156" t="s">
        <v>55</v>
      </c>
      <c r="AG27" s="156" t="s">
        <v>298</v>
      </c>
      <c r="AH27" s="156" t="s">
        <v>201</v>
      </c>
      <c r="AI27" s="156" t="s">
        <v>298</v>
      </c>
      <c r="AJ27" s="157" t="s">
        <v>298</v>
      </c>
      <c r="AL27" s="156" t="s">
        <v>55</v>
      </c>
      <c r="AM27" s="156" t="s">
        <v>298</v>
      </c>
      <c r="AN27" s="156" t="s">
        <v>55</v>
      </c>
      <c r="AO27" s="156" t="s">
        <v>298</v>
      </c>
      <c r="AP27" s="157" t="s">
        <v>298</v>
      </c>
      <c r="AR27" s="156" t="s">
        <v>298</v>
      </c>
      <c r="AS27" s="156" t="s">
        <v>201</v>
      </c>
      <c r="AT27" s="156" t="s">
        <v>298</v>
      </c>
      <c r="AU27" s="156" t="s">
        <v>298</v>
      </c>
      <c r="AV27" s="157" t="s">
        <v>201</v>
      </c>
      <c r="AX27" s="156" t="s">
        <v>55</v>
      </c>
      <c r="AY27" s="156" t="s">
        <v>298</v>
      </c>
      <c r="AZ27" s="156" t="s">
        <v>55</v>
      </c>
      <c r="BA27" s="156" t="s">
        <v>298</v>
      </c>
      <c r="BB27" s="157" t="s">
        <v>298</v>
      </c>
      <c r="BD27" s="156"/>
      <c r="BE27" s="156"/>
      <c r="BF27" s="156" t="s">
        <v>55</v>
      </c>
      <c r="BG27" s="156" t="s">
        <v>298</v>
      </c>
      <c r="BH27" s="157" t="s">
        <v>55</v>
      </c>
      <c r="BJ27" s="155" t="str">
        <f t="shared" si="0"/>
        <v>OK</v>
      </c>
      <c r="BK27" t="s">
        <v>342</v>
      </c>
    </row>
    <row r="28" spans="1:63" x14ac:dyDescent="0.35">
      <c r="A28" s="16" t="s">
        <v>178</v>
      </c>
      <c r="B28" s="156" t="s">
        <v>55</v>
      </c>
      <c r="C28" s="156" t="s">
        <v>55</v>
      </c>
      <c r="D28" s="156" t="s">
        <v>55</v>
      </c>
      <c r="E28" s="156" t="s">
        <v>55</v>
      </c>
      <c r="F28" s="157" t="s">
        <v>55</v>
      </c>
      <c r="H28" s="156" t="s">
        <v>298</v>
      </c>
      <c r="I28" s="156" t="s">
        <v>55</v>
      </c>
      <c r="J28" s="156" t="s">
        <v>298</v>
      </c>
      <c r="K28" s="156" t="s">
        <v>298</v>
      </c>
      <c r="L28" s="157" t="s">
        <v>298</v>
      </c>
      <c r="N28" s="156" t="s">
        <v>55</v>
      </c>
      <c r="O28" s="156" t="s">
        <v>298</v>
      </c>
      <c r="P28" s="156" t="s">
        <v>55</v>
      </c>
      <c r="Q28" s="156" t="s">
        <v>298</v>
      </c>
      <c r="R28" s="157" t="s">
        <v>298</v>
      </c>
      <c r="T28" s="156" t="s">
        <v>55</v>
      </c>
      <c r="U28" s="156" t="s">
        <v>55</v>
      </c>
      <c r="V28" s="156" t="s">
        <v>55</v>
      </c>
      <c r="W28" s="156" t="s">
        <v>298</v>
      </c>
      <c r="X28" s="157" t="s">
        <v>55</v>
      </c>
      <c r="Z28" s="156" t="s">
        <v>298</v>
      </c>
      <c r="AA28" s="156" t="s">
        <v>55</v>
      </c>
      <c r="AB28" s="156" t="s">
        <v>298</v>
      </c>
      <c r="AC28" s="156" t="s">
        <v>298</v>
      </c>
      <c r="AD28" s="157" t="s">
        <v>298</v>
      </c>
      <c r="AF28" s="156" t="s">
        <v>55</v>
      </c>
      <c r="AG28" s="156" t="s">
        <v>298</v>
      </c>
      <c r="AH28" s="156" t="s">
        <v>55</v>
      </c>
      <c r="AI28" s="156" t="s">
        <v>298</v>
      </c>
      <c r="AJ28" s="157" t="s">
        <v>298</v>
      </c>
      <c r="AL28" s="156" t="s">
        <v>55</v>
      </c>
      <c r="AM28" s="156" t="s">
        <v>298</v>
      </c>
      <c r="AN28" s="156" t="s">
        <v>55</v>
      </c>
      <c r="AO28" s="156" t="s">
        <v>298</v>
      </c>
      <c r="AP28" s="157" t="s">
        <v>298</v>
      </c>
      <c r="AR28" s="156" t="s">
        <v>298</v>
      </c>
      <c r="AS28" s="156" t="s">
        <v>201</v>
      </c>
      <c r="AT28" s="156" t="s">
        <v>298</v>
      </c>
      <c r="AU28" s="156" t="s">
        <v>298</v>
      </c>
      <c r="AV28" s="157" t="s">
        <v>201</v>
      </c>
      <c r="AX28" s="156" t="s">
        <v>55</v>
      </c>
      <c r="AY28" s="156" t="s">
        <v>298</v>
      </c>
      <c r="AZ28" s="156" t="s">
        <v>55</v>
      </c>
      <c r="BA28" s="156" t="s">
        <v>298</v>
      </c>
      <c r="BB28" s="157" t="s">
        <v>298</v>
      </c>
      <c r="BD28" s="156"/>
      <c r="BE28" s="156"/>
      <c r="BF28" s="156" t="s">
        <v>55</v>
      </c>
      <c r="BG28" s="156" t="s">
        <v>298</v>
      </c>
      <c r="BH28" s="157" t="s">
        <v>55</v>
      </c>
      <c r="BJ28" s="155" t="str">
        <f t="shared" si="0"/>
        <v>OK</v>
      </c>
      <c r="BK28" t="s">
        <v>178</v>
      </c>
    </row>
    <row r="29" spans="1:63" x14ac:dyDescent="0.35">
      <c r="A29" s="16" t="s">
        <v>10</v>
      </c>
      <c r="B29" s="156" t="s">
        <v>55</v>
      </c>
      <c r="C29" s="156" t="s">
        <v>55</v>
      </c>
      <c r="D29" s="156" t="s">
        <v>55</v>
      </c>
      <c r="E29" s="156" t="s">
        <v>55</v>
      </c>
      <c r="F29" s="157" t="s">
        <v>201</v>
      </c>
      <c r="H29" s="156" t="s">
        <v>298</v>
      </c>
      <c r="I29" s="156" t="s">
        <v>55</v>
      </c>
      <c r="J29" s="156" t="s">
        <v>298</v>
      </c>
      <c r="K29" s="156" t="s">
        <v>298</v>
      </c>
      <c r="L29" s="157" t="s">
        <v>298</v>
      </c>
      <c r="N29" s="156" t="s">
        <v>55</v>
      </c>
      <c r="O29" s="156" t="s">
        <v>298</v>
      </c>
      <c r="P29" s="156" t="s">
        <v>55</v>
      </c>
      <c r="Q29" s="156" t="s">
        <v>298</v>
      </c>
      <c r="R29" s="157" t="s">
        <v>298</v>
      </c>
      <c r="T29" s="156" t="s">
        <v>55</v>
      </c>
      <c r="U29" s="156" t="s">
        <v>55</v>
      </c>
      <c r="V29" s="156" t="s">
        <v>55</v>
      </c>
      <c r="W29" s="156" t="s">
        <v>298</v>
      </c>
      <c r="X29" s="157" t="s">
        <v>55</v>
      </c>
      <c r="Z29" s="156" t="s">
        <v>298</v>
      </c>
      <c r="AA29" s="156" t="s">
        <v>55</v>
      </c>
      <c r="AB29" s="156" t="s">
        <v>298</v>
      </c>
      <c r="AC29" s="156" t="s">
        <v>298</v>
      </c>
      <c r="AD29" s="157" t="s">
        <v>298</v>
      </c>
      <c r="AF29" s="156" t="s">
        <v>55</v>
      </c>
      <c r="AG29" s="156" t="s">
        <v>298</v>
      </c>
      <c r="AH29" s="156" t="s">
        <v>55</v>
      </c>
      <c r="AI29" s="156" t="s">
        <v>298</v>
      </c>
      <c r="AJ29" s="157" t="s">
        <v>298</v>
      </c>
      <c r="AL29" s="156" t="s">
        <v>55</v>
      </c>
      <c r="AM29" s="156" t="s">
        <v>298</v>
      </c>
      <c r="AN29" s="156" t="s">
        <v>55</v>
      </c>
      <c r="AO29" s="156" t="s">
        <v>298</v>
      </c>
      <c r="AP29" s="157" t="s">
        <v>298</v>
      </c>
      <c r="AR29" s="156" t="s">
        <v>298</v>
      </c>
      <c r="AS29" s="156" t="s">
        <v>55</v>
      </c>
      <c r="AT29" s="156" t="s">
        <v>298</v>
      </c>
      <c r="AU29" s="156" t="s">
        <v>298</v>
      </c>
      <c r="AV29" s="157" t="s">
        <v>201</v>
      </c>
      <c r="AX29" s="156" t="s">
        <v>55</v>
      </c>
      <c r="AY29" s="156" t="s">
        <v>298</v>
      </c>
      <c r="AZ29" s="156" t="s">
        <v>55</v>
      </c>
      <c r="BA29" s="156" t="s">
        <v>298</v>
      </c>
      <c r="BB29" s="157" t="s">
        <v>298</v>
      </c>
      <c r="BD29" s="156"/>
      <c r="BE29" s="156"/>
      <c r="BF29" s="156" t="s">
        <v>55</v>
      </c>
      <c r="BG29" s="156" t="s">
        <v>298</v>
      </c>
      <c r="BH29" s="157" t="s">
        <v>55</v>
      </c>
      <c r="BJ29" s="155" t="str">
        <f t="shared" si="0"/>
        <v>OK</v>
      </c>
      <c r="BK29" t="s">
        <v>10</v>
      </c>
    </row>
    <row r="30" spans="1:63" x14ac:dyDescent="0.35">
      <c r="A30" s="16" t="s">
        <v>11</v>
      </c>
      <c r="B30" s="156" t="s">
        <v>55</v>
      </c>
      <c r="C30" s="156" t="s">
        <v>55</v>
      </c>
      <c r="D30" s="156" t="s">
        <v>55</v>
      </c>
      <c r="E30" s="156" t="s">
        <v>55</v>
      </c>
      <c r="F30" s="157" t="s">
        <v>55</v>
      </c>
      <c r="H30" s="156" t="s">
        <v>298</v>
      </c>
      <c r="I30" s="156" t="s">
        <v>55</v>
      </c>
      <c r="J30" s="156" t="s">
        <v>298</v>
      </c>
      <c r="K30" s="156" t="s">
        <v>298</v>
      </c>
      <c r="L30" s="157" t="s">
        <v>298</v>
      </c>
      <c r="N30" s="156" t="s">
        <v>55</v>
      </c>
      <c r="O30" s="156" t="s">
        <v>298</v>
      </c>
      <c r="P30" s="156" t="s">
        <v>55</v>
      </c>
      <c r="Q30" s="156" t="s">
        <v>298</v>
      </c>
      <c r="R30" s="157" t="s">
        <v>298</v>
      </c>
      <c r="T30" s="156" t="s">
        <v>55</v>
      </c>
      <c r="U30" s="156" t="s">
        <v>55</v>
      </c>
      <c r="V30" s="156" t="s">
        <v>55</v>
      </c>
      <c r="W30" s="156" t="s">
        <v>298</v>
      </c>
      <c r="X30" s="157" t="s">
        <v>55</v>
      </c>
      <c r="Z30" s="156" t="s">
        <v>298</v>
      </c>
      <c r="AA30" s="156" t="s">
        <v>55</v>
      </c>
      <c r="AB30" s="156" t="s">
        <v>298</v>
      </c>
      <c r="AC30" s="156" t="s">
        <v>298</v>
      </c>
      <c r="AD30" s="157" t="s">
        <v>298</v>
      </c>
      <c r="AF30" s="156" t="s">
        <v>55</v>
      </c>
      <c r="AG30" s="156" t="s">
        <v>298</v>
      </c>
      <c r="AH30" s="156" t="s">
        <v>55</v>
      </c>
      <c r="AI30" s="156" t="s">
        <v>298</v>
      </c>
      <c r="AJ30" s="157" t="s">
        <v>298</v>
      </c>
      <c r="AL30" s="156" t="s">
        <v>55</v>
      </c>
      <c r="AM30" s="156" t="s">
        <v>298</v>
      </c>
      <c r="AN30" s="156" t="s">
        <v>55</v>
      </c>
      <c r="AO30" s="156" t="s">
        <v>298</v>
      </c>
      <c r="AP30" s="157" t="s">
        <v>298</v>
      </c>
      <c r="AR30" s="156" t="s">
        <v>298</v>
      </c>
      <c r="AS30" s="156" t="s">
        <v>55</v>
      </c>
      <c r="AT30" s="156" t="s">
        <v>298</v>
      </c>
      <c r="AU30" s="156" t="s">
        <v>298</v>
      </c>
      <c r="AV30" s="157" t="s">
        <v>55</v>
      </c>
      <c r="AX30" s="156" t="s">
        <v>55</v>
      </c>
      <c r="AY30" s="156" t="s">
        <v>298</v>
      </c>
      <c r="AZ30" s="156" t="s">
        <v>55</v>
      </c>
      <c r="BA30" s="156" t="s">
        <v>298</v>
      </c>
      <c r="BB30" s="157" t="s">
        <v>298</v>
      </c>
      <c r="BD30" s="156"/>
      <c r="BE30" s="156"/>
      <c r="BF30" s="156" t="s">
        <v>55</v>
      </c>
      <c r="BG30" s="156" t="s">
        <v>298</v>
      </c>
      <c r="BH30" s="157" t="s">
        <v>55</v>
      </c>
      <c r="BJ30" s="155" t="str">
        <f t="shared" si="0"/>
        <v>OK</v>
      </c>
      <c r="BK30" t="s">
        <v>11</v>
      </c>
    </row>
    <row r="31" spans="1:63" x14ac:dyDescent="0.35">
      <c r="A31" s="16" t="s">
        <v>12</v>
      </c>
      <c r="B31" s="156" t="s">
        <v>55</v>
      </c>
      <c r="C31" s="156" t="s">
        <v>55</v>
      </c>
      <c r="D31" s="156" t="s">
        <v>55</v>
      </c>
      <c r="E31" s="156" t="s">
        <v>55</v>
      </c>
      <c r="F31" s="157" t="s">
        <v>55</v>
      </c>
      <c r="H31" s="156" t="s">
        <v>298</v>
      </c>
      <c r="I31" s="156" t="s">
        <v>55</v>
      </c>
      <c r="J31" s="156" t="s">
        <v>298</v>
      </c>
      <c r="K31" s="156" t="s">
        <v>298</v>
      </c>
      <c r="L31" s="157" t="s">
        <v>298</v>
      </c>
      <c r="N31" s="156" t="s">
        <v>55</v>
      </c>
      <c r="O31" s="156" t="s">
        <v>298</v>
      </c>
      <c r="P31" s="156" t="s">
        <v>55</v>
      </c>
      <c r="Q31" s="156" t="s">
        <v>298</v>
      </c>
      <c r="R31" s="157" t="s">
        <v>298</v>
      </c>
      <c r="T31" s="156" t="s">
        <v>55</v>
      </c>
      <c r="U31" s="156" t="s">
        <v>55</v>
      </c>
      <c r="V31" s="156" t="s">
        <v>55</v>
      </c>
      <c r="W31" s="156" t="s">
        <v>298</v>
      </c>
      <c r="X31" s="157" t="s">
        <v>55</v>
      </c>
      <c r="Z31" s="156" t="s">
        <v>298</v>
      </c>
      <c r="AA31" s="156" t="s">
        <v>55</v>
      </c>
      <c r="AB31" s="156" t="s">
        <v>298</v>
      </c>
      <c r="AC31" s="156" t="s">
        <v>298</v>
      </c>
      <c r="AD31" s="157" t="s">
        <v>298</v>
      </c>
      <c r="AF31" s="156" t="s">
        <v>55</v>
      </c>
      <c r="AG31" s="156" t="s">
        <v>298</v>
      </c>
      <c r="AH31" s="156" t="s">
        <v>55</v>
      </c>
      <c r="AI31" s="156" t="s">
        <v>298</v>
      </c>
      <c r="AJ31" s="157" t="s">
        <v>298</v>
      </c>
      <c r="AL31" s="156" t="s">
        <v>55</v>
      </c>
      <c r="AM31" s="156" t="s">
        <v>298</v>
      </c>
      <c r="AN31" s="156" t="s">
        <v>55</v>
      </c>
      <c r="AO31" s="156" t="s">
        <v>298</v>
      </c>
      <c r="AP31" s="157" t="s">
        <v>298</v>
      </c>
      <c r="AR31" s="156" t="s">
        <v>298</v>
      </c>
      <c r="AS31" s="156" t="s">
        <v>55</v>
      </c>
      <c r="AT31" s="156" t="s">
        <v>298</v>
      </c>
      <c r="AU31" s="156" t="s">
        <v>298</v>
      </c>
      <c r="AV31" s="157" t="s">
        <v>55</v>
      </c>
      <c r="AX31" s="156" t="s">
        <v>55</v>
      </c>
      <c r="AY31" s="156" t="s">
        <v>298</v>
      </c>
      <c r="AZ31" s="156" t="s">
        <v>55</v>
      </c>
      <c r="BA31" s="156" t="s">
        <v>298</v>
      </c>
      <c r="BB31" s="157" t="s">
        <v>298</v>
      </c>
      <c r="BD31" s="156"/>
      <c r="BE31" s="156"/>
      <c r="BF31" s="156" t="s">
        <v>55</v>
      </c>
      <c r="BG31" s="156" t="s">
        <v>298</v>
      </c>
      <c r="BH31" s="157" t="s">
        <v>55</v>
      </c>
      <c r="BJ31" s="155" t="str">
        <f t="shared" si="0"/>
        <v>OK</v>
      </c>
      <c r="BK31" t="s">
        <v>12</v>
      </c>
    </row>
    <row r="32" spans="1:63" x14ac:dyDescent="0.35">
      <c r="A32" s="16" t="s">
        <v>13</v>
      </c>
      <c r="B32" s="156" t="s">
        <v>55</v>
      </c>
      <c r="C32" s="156" t="s">
        <v>55</v>
      </c>
      <c r="D32" s="156" t="s">
        <v>55</v>
      </c>
      <c r="E32" s="156" t="s">
        <v>55</v>
      </c>
      <c r="F32" s="157" t="s">
        <v>55</v>
      </c>
      <c r="H32" s="156" t="s">
        <v>298</v>
      </c>
      <c r="I32" s="156" t="s">
        <v>55</v>
      </c>
      <c r="J32" s="156" t="s">
        <v>298</v>
      </c>
      <c r="K32" s="156" t="s">
        <v>298</v>
      </c>
      <c r="L32" s="157" t="s">
        <v>298</v>
      </c>
      <c r="N32" s="156" t="s">
        <v>55</v>
      </c>
      <c r="O32" s="156" t="s">
        <v>298</v>
      </c>
      <c r="P32" s="156" t="s">
        <v>55</v>
      </c>
      <c r="Q32" s="156" t="s">
        <v>298</v>
      </c>
      <c r="R32" s="157" t="s">
        <v>298</v>
      </c>
      <c r="T32" s="156" t="s">
        <v>55</v>
      </c>
      <c r="U32" s="156" t="s">
        <v>55</v>
      </c>
      <c r="V32" s="156" t="s">
        <v>55</v>
      </c>
      <c r="W32" s="156" t="s">
        <v>298</v>
      </c>
      <c r="X32" s="157" t="s">
        <v>55</v>
      </c>
      <c r="Z32" s="156" t="s">
        <v>298</v>
      </c>
      <c r="AA32" s="156" t="s">
        <v>55</v>
      </c>
      <c r="AB32" s="156" t="s">
        <v>298</v>
      </c>
      <c r="AC32" s="156" t="s">
        <v>298</v>
      </c>
      <c r="AD32" s="157" t="s">
        <v>298</v>
      </c>
      <c r="AF32" s="156" t="s">
        <v>55</v>
      </c>
      <c r="AG32" s="156" t="s">
        <v>298</v>
      </c>
      <c r="AH32" s="156" t="s">
        <v>55</v>
      </c>
      <c r="AI32" s="156" t="s">
        <v>298</v>
      </c>
      <c r="AJ32" s="157" t="s">
        <v>298</v>
      </c>
      <c r="AL32" s="156" t="s">
        <v>55</v>
      </c>
      <c r="AM32" s="156" t="s">
        <v>298</v>
      </c>
      <c r="AN32" s="156" t="s">
        <v>55</v>
      </c>
      <c r="AO32" s="156" t="s">
        <v>298</v>
      </c>
      <c r="AP32" s="157" t="s">
        <v>298</v>
      </c>
      <c r="AR32" s="156" t="s">
        <v>298</v>
      </c>
      <c r="AS32" s="156" t="s">
        <v>55</v>
      </c>
      <c r="AT32" s="156" t="s">
        <v>298</v>
      </c>
      <c r="AU32" s="156" t="s">
        <v>298</v>
      </c>
      <c r="AV32" s="157" t="s">
        <v>55</v>
      </c>
      <c r="AX32" s="156" t="s">
        <v>55</v>
      </c>
      <c r="AY32" s="156" t="s">
        <v>298</v>
      </c>
      <c r="AZ32" s="156" t="s">
        <v>55</v>
      </c>
      <c r="BA32" s="156" t="s">
        <v>298</v>
      </c>
      <c r="BB32" s="157" t="s">
        <v>298</v>
      </c>
      <c r="BD32" s="156"/>
      <c r="BE32" s="156"/>
      <c r="BF32" s="156" t="s">
        <v>55</v>
      </c>
      <c r="BG32" s="156" t="s">
        <v>298</v>
      </c>
      <c r="BH32" s="157" t="s">
        <v>55</v>
      </c>
      <c r="BJ32" s="155" t="str">
        <f t="shared" si="0"/>
        <v>OK</v>
      </c>
      <c r="BK32" t="s">
        <v>13</v>
      </c>
    </row>
    <row r="33" spans="1:63" x14ac:dyDescent="0.35">
      <c r="A33" s="16" t="s">
        <v>343</v>
      </c>
      <c r="B33" s="156" t="s">
        <v>55</v>
      </c>
      <c r="C33" s="156" t="s">
        <v>55</v>
      </c>
      <c r="D33" s="156" t="s">
        <v>55</v>
      </c>
      <c r="E33" s="156" t="s">
        <v>55</v>
      </c>
      <c r="F33" s="157" t="s">
        <v>55</v>
      </c>
      <c r="H33" s="156" t="s">
        <v>298</v>
      </c>
      <c r="I33" s="156" t="s">
        <v>55</v>
      </c>
      <c r="J33" s="156" t="s">
        <v>298</v>
      </c>
      <c r="K33" s="156" t="s">
        <v>298</v>
      </c>
      <c r="L33" s="157" t="s">
        <v>298</v>
      </c>
      <c r="N33" s="156" t="s">
        <v>55</v>
      </c>
      <c r="O33" s="156" t="s">
        <v>298</v>
      </c>
      <c r="P33" s="156" t="s">
        <v>55</v>
      </c>
      <c r="Q33" s="156" t="s">
        <v>298</v>
      </c>
      <c r="R33" s="157" t="s">
        <v>298</v>
      </c>
      <c r="T33" s="156" t="s">
        <v>55</v>
      </c>
      <c r="U33" s="156" t="s">
        <v>55</v>
      </c>
      <c r="V33" s="156" t="s">
        <v>55</v>
      </c>
      <c r="W33" s="156" t="s">
        <v>298</v>
      </c>
      <c r="X33" s="157" t="s">
        <v>55</v>
      </c>
      <c r="Z33" s="156" t="s">
        <v>298</v>
      </c>
      <c r="AA33" s="156" t="s">
        <v>55</v>
      </c>
      <c r="AB33" s="156" t="s">
        <v>298</v>
      </c>
      <c r="AC33" s="156" t="s">
        <v>298</v>
      </c>
      <c r="AD33" s="157" t="s">
        <v>298</v>
      </c>
      <c r="AF33" s="156" t="s">
        <v>55</v>
      </c>
      <c r="AG33" s="156" t="s">
        <v>298</v>
      </c>
      <c r="AH33" s="156" t="s">
        <v>55</v>
      </c>
      <c r="AI33" s="156" t="s">
        <v>298</v>
      </c>
      <c r="AJ33" s="157" t="s">
        <v>298</v>
      </c>
      <c r="AL33" s="156" t="s">
        <v>210</v>
      </c>
      <c r="AM33" s="156" t="s">
        <v>298</v>
      </c>
      <c r="AN33" s="156" t="s">
        <v>210</v>
      </c>
      <c r="AO33" s="156" t="s">
        <v>298</v>
      </c>
      <c r="AP33" s="157" t="s">
        <v>298</v>
      </c>
      <c r="AR33" s="156" t="s">
        <v>298</v>
      </c>
      <c r="AS33" s="156" t="s">
        <v>55</v>
      </c>
      <c r="AT33" s="156" t="s">
        <v>298</v>
      </c>
      <c r="AU33" s="156" t="s">
        <v>298</v>
      </c>
      <c r="AV33" s="157" t="s">
        <v>55</v>
      </c>
      <c r="AX33" s="156" t="s">
        <v>55</v>
      </c>
      <c r="AY33" s="156" t="s">
        <v>298</v>
      </c>
      <c r="AZ33" s="156" t="s">
        <v>55</v>
      </c>
      <c r="BA33" s="156" t="s">
        <v>298</v>
      </c>
      <c r="BB33" s="157" t="s">
        <v>298</v>
      </c>
      <c r="BD33" s="156"/>
      <c r="BE33" s="156"/>
      <c r="BF33" s="156" t="s">
        <v>55</v>
      </c>
      <c r="BG33" s="156" t="s">
        <v>298</v>
      </c>
      <c r="BH33" s="157" t="s">
        <v>55</v>
      </c>
      <c r="BJ33" s="155" t="str">
        <f t="shared" si="0"/>
        <v>OK</v>
      </c>
      <c r="BK33" t="s">
        <v>343</v>
      </c>
    </row>
    <row r="34" spans="1:63" x14ac:dyDescent="0.35">
      <c r="A34" s="16" t="s">
        <v>14</v>
      </c>
      <c r="B34" s="156" t="s">
        <v>55</v>
      </c>
      <c r="C34" s="156" t="s">
        <v>55</v>
      </c>
      <c r="D34" s="156" t="s">
        <v>55</v>
      </c>
      <c r="E34" s="156" t="s">
        <v>55</v>
      </c>
      <c r="F34" s="157" t="s">
        <v>55</v>
      </c>
      <c r="H34" s="156" t="s">
        <v>298</v>
      </c>
      <c r="I34" s="156" t="s">
        <v>55</v>
      </c>
      <c r="J34" s="156" t="s">
        <v>298</v>
      </c>
      <c r="K34" s="156" t="s">
        <v>298</v>
      </c>
      <c r="L34" s="157" t="s">
        <v>298</v>
      </c>
      <c r="N34" s="156" t="s">
        <v>55</v>
      </c>
      <c r="O34" s="156" t="s">
        <v>298</v>
      </c>
      <c r="P34" s="156" t="s">
        <v>55</v>
      </c>
      <c r="Q34" s="156" t="s">
        <v>298</v>
      </c>
      <c r="R34" s="157" t="s">
        <v>298</v>
      </c>
      <c r="T34" s="156" t="s">
        <v>55</v>
      </c>
      <c r="U34" s="156" t="s">
        <v>55</v>
      </c>
      <c r="V34" s="156" t="s">
        <v>55</v>
      </c>
      <c r="W34" s="156" t="s">
        <v>298</v>
      </c>
      <c r="X34" s="157" t="s">
        <v>55</v>
      </c>
      <c r="Z34" s="156" t="s">
        <v>298</v>
      </c>
      <c r="AA34" s="156" t="s">
        <v>55</v>
      </c>
      <c r="AB34" s="156" t="s">
        <v>298</v>
      </c>
      <c r="AC34" s="156" t="s">
        <v>298</v>
      </c>
      <c r="AD34" s="157" t="s">
        <v>298</v>
      </c>
      <c r="AF34" s="156" t="s">
        <v>55</v>
      </c>
      <c r="AG34" s="156" t="s">
        <v>298</v>
      </c>
      <c r="AH34" s="156" t="s">
        <v>55</v>
      </c>
      <c r="AI34" s="156" t="s">
        <v>298</v>
      </c>
      <c r="AJ34" s="157" t="s">
        <v>298</v>
      </c>
      <c r="AL34" s="156" t="s">
        <v>55</v>
      </c>
      <c r="AM34" s="156" t="s">
        <v>298</v>
      </c>
      <c r="AN34" s="156" t="s">
        <v>55</v>
      </c>
      <c r="AO34" s="156" t="s">
        <v>298</v>
      </c>
      <c r="AP34" s="157" t="s">
        <v>298</v>
      </c>
      <c r="AR34" s="156" t="s">
        <v>298</v>
      </c>
      <c r="AS34" s="156" t="s">
        <v>55</v>
      </c>
      <c r="AT34" s="156" t="s">
        <v>298</v>
      </c>
      <c r="AU34" s="156" t="s">
        <v>298</v>
      </c>
      <c r="AV34" s="157" t="s">
        <v>55</v>
      </c>
      <c r="AX34" s="156" t="s">
        <v>55</v>
      </c>
      <c r="AY34" s="156" t="s">
        <v>298</v>
      </c>
      <c r="AZ34" s="156" t="s">
        <v>55</v>
      </c>
      <c r="BA34" s="156" t="s">
        <v>298</v>
      </c>
      <c r="BB34" s="157" t="s">
        <v>298</v>
      </c>
      <c r="BD34" s="156"/>
      <c r="BE34" s="156"/>
      <c r="BF34" s="156" t="s">
        <v>201</v>
      </c>
      <c r="BG34" s="156" t="s">
        <v>298</v>
      </c>
      <c r="BH34" s="157" t="s">
        <v>55</v>
      </c>
      <c r="BJ34" s="155" t="str">
        <f t="shared" si="0"/>
        <v>OK</v>
      </c>
      <c r="BK34" t="s">
        <v>14</v>
      </c>
    </row>
    <row r="35" spans="1:63" x14ac:dyDescent="0.35">
      <c r="A35" s="16" t="s">
        <v>15</v>
      </c>
      <c r="B35" s="156" t="s">
        <v>55</v>
      </c>
      <c r="C35" s="156" t="s">
        <v>55</v>
      </c>
      <c r="D35" s="156" t="s">
        <v>55</v>
      </c>
      <c r="E35" s="156" t="s">
        <v>55</v>
      </c>
      <c r="F35" s="157" t="s">
        <v>55</v>
      </c>
      <c r="H35" s="156" t="s">
        <v>298</v>
      </c>
      <c r="I35" s="156" t="s">
        <v>55</v>
      </c>
      <c r="J35" s="156" t="s">
        <v>298</v>
      </c>
      <c r="K35" s="156" t="s">
        <v>298</v>
      </c>
      <c r="L35" s="157" t="s">
        <v>298</v>
      </c>
      <c r="N35" s="156" t="s">
        <v>55</v>
      </c>
      <c r="O35" s="156" t="s">
        <v>298</v>
      </c>
      <c r="P35" s="156" t="s">
        <v>55</v>
      </c>
      <c r="Q35" s="156" t="s">
        <v>298</v>
      </c>
      <c r="R35" s="157" t="s">
        <v>298</v>
      </c>
      <c r="T35" s="156" t="s">
        <v>55</v>
      </c>
      <c r="U35" s="156" t="s">
        <v>55</v>
      </c>
      <c r="V35" s="156" t="s">
        <v>55</v>
      </c>
      <c r="W35" s="156" t="s">
        <v>298</v>
      </c>
      <c r="X35" s="157" t="s">
        <v>55</v>
      </c>
      <c r="Z35" s="156" t="s">
        <v>298</v>
      </c>
      <c r="AA35" s="156" t="s">
        <v>55</v>
      </c>
      <c r="AB35" s="156" t="s">
        <v>298</v>
      </c>
      <c r="AC35" s="156" t="s">
        <v>298</v>
      </c>
      <c r="AD35" s="157" t="s">
        <v>298</v>
      </c>
      <c r="AF35" s="156" t="s">
        <v>55</v>
      </c>
      <c r="AG35" s="156" t="s">
        <v>298</v>
      </c>
      <c r="AH35" s="156" t="s">
        <v>55</v>
      </c>
      <c r="AI35" s="156" t="s">
        <v>298</v>
      </c>
      <c r="AJ35" s="157" t="s">
        <v>298</v>
      </c>
      <c r="AL35" s="156" t="s">
        <v>55</v>
      </c>
      <c r="AM35" s="156" t="s">
        <v>298</v>
      </c>
      <c r="AN35" s="156" t="s">
        <v>55</v>
      </c>
      <c r="AO35" s="156" t="s">
        <v>298</v>
      </c>
      <c r="AP35" s="157" t="s">
        <v>298</v>
      </c>
      <c r="AR35" s="156" t="s">
        <v>298</v>
      </c>
      <c r="AS35" s="156" t="s">
        <v>55</v>
      </c>
      <c r="AT35" s="156" t="s">
        <v>298</v>
      </c>
      <c r="AU35" s="156" t="s">
        <v>298</v>
      </c>
      <c r="AV35" s="157" t="s">
        <v>55</v>
      </c>
      <c r="AX35" s="156" t="s">
        <v>55</v>
      </c>
      <c r="AY35" s="156" t="s">
        <v>298</v>
      </c>
      <c r="AZ35" s="156" t="s">
        <v>55</v>
      </c>
      <c r="BA35" s="156" t="s">
        <v>298</v>
      </c>
      <c r="BB35" s="157" t="s">
        <v>298</v>
      </c>
      <c r="BD35" s="156"/>
      <c r="BE35" s="156"/>
      <c r="BF35" s="156" t="s">
        <v>55</v>
      </c>
      <c r="BG35" s="156" t="s">
        <v>298</v>
      </c>
      <c r="BH35" s="157" t="s">
        <v>55</v>
      </c>
      <c r="BJ35" s="155" t="str">
        <f t="shared" si="0"/>
        <v>OK</v>
      </c>
      <c r="BK35" t="s">
        <v>15</v>
      </c>
    </row>
    <row r="36" spans="1:63" x14ac:dyDescent="0.35">
      <c r="A36" s="16" t="s">
        <v>16</v>
      </c>
      <c r="B36" s="156" t="s">
        <v>55</v>
      </c>
      <c r="C36" s="156" t="s">
        <v>55</v>
      </c>
      <c r="D36" s="156" t="s">
        <v>55</v>
      </c>
      <c r="E36" s="156" t="s">
        <v>55</v>
      </c>
      <c r="F36" s="157" t="s">
        <v>55</v>
      </c>
      <c r="H36" s="156" t="s">
        <v>298</v>
      </c>
      <c r="I36" s="156" t="s">
        <v>55</v>
      </c>
      <c r="J36" s="156" t="s">
        <v>298</v>
      </c>
      <c r="K36" s="156" t="s">
        <v>298</v>
      </c>
      <c r="L36" s="157" t="s">
        <v>298</v>
      </c>
      <c r="N36" s="156" t="s">
        <v>55</v>
      </c>
      <c r="O36" s="156" t="s">
        <v>298</v>
      </c>
      <c r="P36" s="156" t="s">
        <v>55</v>
      </c>
      <c r="Q36" s="156" t="s">
        <v>298</v>
      </c>
      <c r="R36" s="157" t="s">
        <v>298</v>
      </c>
      <c r="T36" s="156" t="s">
        <v>55</v>
      </c>
      <c r="U36" s="156" t="s">
        <v>55</v>
      </c>
      <c r="V36" s="156" t="s">
        <v>55</v>
      </c>
      <c r="W36" s="156" t="s">
        <v>298</v>
      </c>
      <c r="X36" s="157" t="s">
        <v>55</v>
      </c>
      <c r="Z36" s="156" t="s">
        <v>298</v>
      </c>
      <c r="AA36" s="156" t="s">
        <v>55</v>
      </c>
      <c r="AB36" s="156" t="s">
        <v>298</v>
      </c>
      <c r="AC36" s="156" t="s">
        <v>298</v>
      </c>
      <c r="AD36" s="157" t="s">
        <v>298</v>
      </c>
      <c r="AF36" s="156" t="s">
        <v>55</v>
      </c>
      <c r="AG36" s="156" t="s">
        <v>298</v>
      </c>
      <c r="AH36" s="156" t="s">
        <v>55</v>
      </c>
      <c r="AI36" s="156" t="s">
        <v>298</v>
      </c>
      <c r="AJ36" s="157" t="s">
        <v>298</v>
      </c>
      <c r="AL36" s="156" t="s">
        <v>55</v>
      </c>
      <c r="AM36" s="156" t="s">
        <v>298</v>
      </c>
      <c r="AN36" s="156" t="s">
        <v>55</v>
      </c>
      <c r="AO36" s="156" t="s">
        <v>298</v>
      </c>
      <c r="AP36" s="157" t="s">
        <v>298</v>
      </c>
      <c r="AR36" s="156" t="s">
        <v>298</v>
      </c>
      <c r="AS36" s="156" t="s">
        <v>55</v>
      </c>
      <c r="AT36" s="156" t="s">
        <v>298</v>
      </c>
      <c r="AU36" s="156" t="s">
        <v>298</v>
      </c>
      <c r="AV36" s="157" t="s">
        <v>55</v>
      </c>
      <c r="AX36" s="156" t="s">
        <v>55</v>
      </c>
      <c r="AY36" s="156" t="s">
        <v>298</v>
      </c>
      <c r="AZ36" s="156" t="s">
        <v>55</v>
      </c>
      <c r="BA36" s="156" t="s">
        <v>298</v>
      </c>
      <c r="BB36" s="157" t="s">
        <v>298</v>
      </c>
      <c r="BD36" s="156"/>
      <c r="BE36" s="156"/>
      <c r="BF36" s="156" t="s">
        <v>55</v>
      </c>
      <c r="BG36" s="156" t="s">
        <v>298</v>
      </c>
      <c r="BH36" s="157" t="s">
        <v>55</v>
      </c>
      <c r="BJ36" s="155" t="str">
        <f t="shared" si="0"/>
        <v>OK</v>
      </c>
      <c r="BK36" t="s">
        <v>16</v>
      </c>
    </row>
    <row r="37" spans="1:63" x14ac:dyDescent="0.35">
      <c r="A37" s="16" t="s">
        <v>344</v>
      </c>
      <c r="B37" s="156" t="s">
        <v>55</v>
      </c>
      <c r="C37" s="156" t="s">
        <v>55</v>
      </c>
      <c r="D37" s="156" t="s">
        <v>55</v>
      </c>
      <c r="E37" s="156" t="s">
        <v>55</v>
      </c>
      <c r="F37" s="157" t="s">
        <v>55</v>
      </c>
      <c r="H37" s="156" t="s">
        <v>298</v>
      </c>
      <c r="I37" s="156" t="s">
        <v>55</v>
      </c>
      <c r="J37" s="156" t="s">
        <v>298</v>
      </c>
      <c r="K37" s="156" t="s">
        <v>298</v>
      </c>
      <c r="L37" s="157" t="s">
        <v>298</v>
      </c>
      <c r="N37" s="156" t="s">
        <v>201</v>
      </c>
      <c r="O37" s="156" t="s">
        <v>298</v>
      </c>
      <c r="P37" s="156" t="s">
        <v>55</v>
      </c>
      <c r="Q37" s="156" t="s">
        <v>298</v>
      </c>
      <c r="R37" s="157" t="s">
        <v>298</v>
      </c>
      <c r="T37" s="156" t="s">
        <v>201</v>
      </c>
      <c r="U37" s="156" t="s">
        <v>55</v>
      </c>
      <c r="V37" s="156" t="s">
        <v>55</v>
      </c>
      <c r="W37" s="156" t="s">
        <v>298</v>
      </c>
      <c r="X37" s="157" t="s">
        <v>55</v>
      </c>
      <c r="Z37" s="156" t="s">
        <v>298</v>
      </c>
      <c r="AA37" s="156" t="s">
        <v>55</v>
      </c>
      <c r="AB37" s="156" t="s">
        <v>298</v>
      </c>
      <c r="AC37" s="156" t="s">
        <v>298</v>
      </c>
      <c r="AD37" s="157" t="s">
        <v>298</v>
      </c>
      <c r="AF37" s="156" t="s">
        <v>55</v>
      </c>
      <c r="AG37" s="156" t="s">
        <v>298</v>
      </c>
      <c r="AH37" s="156" t="s">
        <v>55</v>
      </c>
      <c r="AI37" s="156" t="s">
        <v>298</v>
      </c>
      <c r="AJ37" s="157" t="s">
        <v>298</v>
      </c>
      <c r="AL37" s="156" t="s">
        <v>210</v>
      </c>
      <c r="AM37" s="156" t="s">
        <v>298</v>
      </c>
      <c r="AN37" s="156" t="s">
        <v>210</v>
      </c>
      <c r="AO37" s="156" t="s">
        <v>298</v>
      </c>
      <c r="AP37" s="157" t="s">
        <v>298</v>
      </c>
      <c r="AR37" s="156" t="s">
        <v>298</v>
      </c>
      <c r="AS37" s="156" t="s">
        <v>210</v>
      </c>
      <c r="AT37" s="156" t="s">
        <v>298</v>
      </c>
      <c r="AU37" s="156" t="s">
        <v>298</v>
      </c>
      <c r="AV37" s="157" t="s">
        <v>210</v>
      </c>
      <c r="AX37" s="156" t="s">
        <v>210</v>
      </c>
      <c r="AY37" s="156" t="s">
        <v>298</v>
      </c>
      <c r="AZ37" s="156" t="s">
        <v>210</v>
      </c>
      <c r="BA37" s="156" t="s">
        <v>298</v>
      </c>
      <c r="BB37" s="157" t="s">
        <v>298</v>
      </c>
      <c r="BD37" s="156"/>
      <c r="BE37" s="156"/>
      <c r="BF37" s="156" t="s">
        <v>55</v>
      </c>
      <c r="BG37" s="156" t="s">
        <v>298</v>
      </c>
      <c r="BH37" s="157" t="s">
        <v>55</v>
      </c>
      <c r="BJ37" s="155" t="str">
        <f t="shared" si="0"/>
        <v>OK</v>
      </c>
      <c r="BK37" t="s">
        <v>344</v>
      </c>
    </row>
    <row r="38" spans="1:63" x14ac:dyDescent="0.35">
      <c r="A38" s="16" t="s">
        <v>17</v>
      </c>
      <c r="B38" s="156" t="s">
        <v>55</v>
      </c>
      <c r="C38" s="156" t="s">
        <v>55</v>
      </c>
      <c r="D38" s="156" t="s">
        <v>55</v>
      </c>
      <c r="E38" s="156" t="s">
        <v>55</v>
      </c>
      <c r="F38" s="157" t="s">
        <v>55</v>
      </c>
      <c r="H38" s="156" t="s">
        <v>298</v>
      </c>
      <c r="I38" s="156" t="s">
        <v>55</v>
      </c>
      <c r="J38" s="156" t="s">
        <v>298</v>
      </c>
      <c r="K38" s="156" t="s">
        <v>298</v>
      </c>
      <c r="L38" s="157" t="s">
        <v>298</v>
      </c>
      <c r="N38" s="156" t="s">
        <v>55</v>
      </c>
      <c r="O38" s="156" t="s">
        <v>298</v>
      </c>
      <c r="P38" s="156" t="s">
        <v>55</v>
      </c>
      <c r="Q38" s="156" t="s">
        <v>298</v>
      </c>
      <c r="R38" s="157" t="s">
        <v>298</v>
      </c>
      <c r="T38" s="156" t="s">
        <v>55</v>
      </c>
      <c r="U38" s="156" t="s">
        <v>55</v>
      </c>
      <c r="V38" s="156" t="s">
        <v>55</v>
      </c>
      <c r="W38" s="156" t="s">
        <v>298</v>
      </c>
      <c r="X38" s="157" t="s">
        <v>55</v>
      </c>
      <c r="Z38" s="156" t="s">
        <v>298</v>
      </c>
      <c r="AA38" s="156" t="s">
        <v>55</v>
      </c>
      <c r="AB38" s="156" t="s">
        <v>298</v>
      </c>
      <c r="AC38" s="156" t="s">
        <v>298</v>
      </c>
      <c r="AD38" s="157" t="s">
        <v>298</v>
      </c>
      <c r="AF38" s="156" t="s">
        <v>55</v>
      </c>
      <c r="AG38" s="156" t="s">
        <v>298</v>
      </c>
      <c r="AH38" s="156" t="s">
        <v>55</v>
      </c>
      <c r="AI38" s="156" t="s">
        <v>298</v>
      </c>
      <c r="AJ38" s="157" t="s">
        <v>298</v>
      </c>
      <c r="AL38" s="156" t="s">
        <v>55</v>
      </c>
      <c r="AM38" s="156" t="s">
        <v>298</v>
      </c>
      <c r="AN38" s="156" t="s">
        <v>55</v>
      </c>
      <c r="AO38" s="156" t="s">
        <v>298</v>
      </c>
      <c r="AP38" s="157" t="s">
        <v>298</v>
      </c>
      <c r="AR38" s="156" t="s">
        <v>298</v>
      </c>
      <c r="AS38" s="156" t="s">
        <v>55</v>
      </c>
      <c r="AT38" s="156" t="s">
        <v>298</v>
      </c>
      <c r="AU38" s="156" t="s">
        <v>298</v>
      </c>
      <c r="AV38" s="157" t="s">
        <v>55</v>
      </c>
      <c r="AX38" s="156" t="s">
        <v>55</v>
      </c>
      <c r="AY38" s="156" t="s">
        <v>298</v>
      </c>
      <c r="AZ38" s="156" t="s">
        <v>55</v>
      </c>
      <c r="BA38" s="156" t="s">
        <v>298</v>
      </c>
      <c r="BB38" s="157" t="s">
        <v>298</v>
      </c>
      <c r="BD38" s="156"/>
      <c r="BE38" s="156"/>
      <c r="BF38" s="156" t="s">
        <v>55</v>
      </c>
      <c r="BG38" s="156" t="s">
        <v>298</v>
      </c>
      <c r="BH38" s="157" t="s">
        <v>55</v>
      </c>
      <c r="BJ38" s="155" t="str">
        <f t="shared" si="0"/>
        <v>OK</v>
      </c>
      <c r="BK38" t="s">
        <v>17</v>
      </c>
    </row>
    <row r="39" spans="1:63" x14ac:dyDescent="0.35">
      <c r="A39" s="16" t="s">
        <v>358</v>
      </c>
      <c r="B39" s="156" t="s">
        <v>55</v>
      </c>
      <c r="C39" s="156" t="s">
        <v>55</v>
      </c>
      <c r="D39" s="156" t="s">
        <v>201</v>
      </c>
      <c r="E39" s="156" t="s">
        <v>201</v>
      </c>
      <c r="F39" s="157" t="s">
        <v>55</v>
      </c>
      <c r="H39" s="156" t="s">
        <v>298</v>
      </c>
      <c r="I39" s="156" t="s">
        <v>55</v>
      </c>
      <c r="J39" s="156" t="s">
        <v>298</v>
      </c>
      <c r="K39" s="156" t="s">
        <v>298</v>
      </c>
      <c r="L39" s="157" t="s">
        <v>298</v>
      </c>
      <c r="N39" s="156" t="s">
        <v>55</v>
      </c>
      <c r="O39" s="156" t="s">
        <v>298</v>
      </c>
      <c r="P39" s="156" t="s">
        <v>55</v>
      </c>
      <c r="Q39" s="156" t="s">
        <v>298</v>
      </c>
      <c r="R39" s="157" t="s">
        <v>298</v>
      </c>
      <c r="T39" s="156" t="s">
        <v>55</v>
      </c>
      <c r="U39" s="156" t="s">
        <v>55</v>
      </c>
      <c r="V39" s="156" t="s">
        <v>55</v>
      </c>
      <c r="W39" s="156" t="s">
        <v>298</v>
      </c>
      <c r="X39" s="157" t="s">
        <v>55</v>
      </c>
      <c r="Z39" s="156" t="s">
        <v>298</v>
      </c>
      <c r="AA39" s="156" t="s">
        <v>55</v>
      </c>
      <c r="AB39" s="156" t="s">
        <v>298</v>
      </c>
      <c r="AC39" s="156" t="s">
        <v>298</v>
      </c>
      <c r="AD39" s="157" t="s">
        <v>298</v>
      </c>
      <c r="AF39" s="156" t="s">
        <v>55</v>
      </c>
      <c r="AG39" s="156" t="s">
        <v>298</v>
      </c>
      <c r="AH39" s="156" t="s">
        <v>55</v>
      </c>
      <c r="AI39" s="156" t="s">
        <v>298</v>
      </c>
      <c r="AJ39" s="157" t="s">
        <v>298</v>
      </c>
      <c r="AL39" s="156" t="s">
        <v>55</v>
      </c>
      <c r="AM39" s="156" t="s">
        <v>298</v>
      </c>
      <c r="AN39" s="156" t="s">
        <v>55</v>
      </c>
      <c r="AO39" s="156" t="s">
        <v>298</v>
      </c>
      <c r="AP39" s="157" t="s">
        <v>298</v>
      </c>
      <c r="AR39" s="156" t="s">
        <v>298</v>
      </c>
      <c r="AS39" s="156" t="s">
        <v>55</v>
      </c>
      <c r="AT39" s="156" t="s">
        <v>298</v>
      </c>
      <c r="AU39" s="156" t="s">
        <v>298</v>
      </c>
      <c r="AV39" s="157" t="s">
        <v>55</v>
      </c>
      <c r="AX39" s="156" t="s">
        <v>55</v>
      </c>
      <c r="AY39" s="156" t="s">
        <v>298</v>
      </c>
      <c r="AZ39" s="156" t="s">
        <v>55</v>
      </c>
      <c r="BA39" s="156" t="s">
        <v>298</v>
      </c>
      <c r="BB39" s="157" t="s">
        <v>298</v>
      </c>
      <c r="BD39" s="156"/>
      <c r="BE39" s="156"/>
      <c r="BF39" s="156" t="s">
        <v>55</v>
      </c>
      <c r="BG39" s="156" t="s">
        <v>298</v>
      </c>
      <c r="BH39" s="157" t="s">
        <v>55</v>
      </c>
      <c r="BJ39" s="155" t="str">
        <f t="shared" si="0"/>
        <v>OK</v>
      </c>
      <c r="BK39" t="s">
        <v>358</v>
      </c>
    </row>
    <row r="40" spans="1:63" x14ac:dyDescent="0.35">
      <c r="A40" s="16" t="s">
        <v>25</v>
      </c>
      <c r="B40" s="156" t="s">
        <v>55</v>
      </c>
      <c r="C40" s="156" t="s">
        <v>55</v>
      </c>
      <c r="D40" s="156" t="s">
        <v>55</v>
      </c>
      <c r="E40" s="156" t="s">
        <v>55</v>
      </c>
      <c r="F40" s="157" t="s">
        <v>55</v>
      </c>
      <c r="H40" s="156" t="s">
        <v>298</v>
      </c>
      <c r="I40" s="156" t="s">
        <v>55</v>
      </c>
      <c r="J40" s="156" t="s">
        <v>298</v>
      </c>
      <c r="K40" s="156" t="s">
        <v>298</v>
      </c>
      <c r="L40" s="157" t="s">
        <v>298</v>
      </c>
      <c r="N40" s="156" t="s">
        <v>55</v>
      </c>
      <c r="O40" s="156" t="s">
        <v>298</v>
      </c>
      <c r="P40" s="156" t="s">
        <v>55</v>
      </c>
      <c r="Q40" s="156" t="s">
        <v>298</v>
      </c>
      <c r="R40" s="157" t="s">
        <v>298</v>
      </c>
      <c r="T40" s="156" t="s">
        <v>55</v>
      </c>
      <c r="U40" s="156" t="s">
        <v>55</v>
      </c>
      <c r="V40" s="156" t="s">
        <v>55</v>
      </c>
      <c r="W40" s="156" t="s">
        <v>298</v>
      </c>
      <c r="X40" s="157" t="s">
        <v>55</v>
      </c>
      <c r="Z40" s="156" t="s">
        <v>298</v>
      </c>
      <c r="AA40" s="156" t="s">
        <v>55</v>
      </c>
      <c r="AB40" s="156" t="s">
        <v>298</v>
      </c>
      <c r="AC40" s="156" t="s">
        <v>298</v>
      </c>
      <c r="AD40" s="157" t="s">
        <v>298</v>
      </c>
      <c r="AF40" s="156" t="s">
        <v>55</v>
      </c>
      <c r="AG40" s="156" t="s">
        <v>298</v>
      </c>
      <c r="AH40" s="156" t="s">
        <v>55</v>
      </c>
      <c r="AI40" s="156" t="s">
        <v>298</v>
      </c>
      <c r="AJ40" s="157" t="s">
        <v>298</v>
      </c>
      <c r="AL40" s="156" t="s">
        <v>210</v>
      </c>
      <c r="AM40" s="156" t="s">
        <v>298</v>
      </c>
      <c r="AN40" s="156" t="s">
        <v>210</v>
      </c>
      <c r="AO40" s="156" t="s">
        <v>298</v>
      </c>
      <c r="AP40" s="157" t="s">
        <v>298</v>
      </c>
      <c r="AR40" s="156" t="s">
        <v>298</v>
      </c>
      <c r="AS40" s="156" t="s">
        <v>210</v>
      </c>
      <c r="AT40" s="156" t="s">
        <v>298</v>
      </c>
      <c r="AU40" s="156" t="s">
        <v>298</v>
      </c>
      <c r="AV40" s="157" t="s">
        <v>210</v>
      </c>
      <c r="AX40" s="156" t="s">
        <v>55</v>
      </c>
      <c r="AY40" s="156" t="s">
        <v>298</v>
      </c>
      <c r="AZ40" s="156" t="s">
        <v>55</v>
      </c>
      <c r="BA40" s="156" t="s">
        <v>298</v>
      </c>
      <c r="BB40" s="157" t="s">
        <v>298</v>
      </c>
      <c r="BD40" s="156"/>
      <c r="BE40" s="156"/>
      <c r="BF40" s="156" t="s">
        <v>55</v>
      </c>
      <c r="BG40" s="156" t="s">
        <v>298</v>
      </c>
      <c r="BH40" s="157" t="s">
        <v>210</v>
      </c>
      <c r="BJ40" s="155" t="str">
        <f t="shared" si="0"/>
        <v>OK</v>
      </c>
      <c r="BK40" t="s">
        <v>25</v>
      </c>
    </row>
    <row r="41" spans="1:63" x14ac:dyDescent="0.35">
      <c r="A41" s="16" t="s">
        <v>18</v>
      </c>
      <c r="B41" s="156" t="s">
        <v>55</v>
      </c>
      <c r="C41" s="156" t="s">
        <v>55</v>
      </c>
      <c r="D41" s="156" t="s">
        <v>55</v>
      </c>
      <c r="E41" s="156" t="s">
        <v>55</v>
      </c>
      <c r="F41" s="157" t="s">
        <v>55</v>
      </c>
      <c r="H41" s="156" t="s">
        <v>298</v>
      </c>
      <c r="I41" s="156" t="s">
        <v>55</v>
      </c>
      <c r="J41" s="156" t="s">
        <v>298</v>
      </c>
      <c r="K41" s="156" t="s">
        <v>298</v>
      </c>
      <c r="L41" s="157" t="s">
        <v>298</v>
      </c>
      <c r="N41" s="156" t="s">
        <v>55</v>
      </c>
      <c r="O41" s="156" t="s">
        <v>298</v>
      </c>
      <c r="P41" s="156" t="s">
        <v>55</v>
      </c>
      <c r="Q41" s="156" t="s">
        <v>298</v>
      </c>
      <c r="R41" s="157" t="s">
        <v>298</v>
      </c>
      <c r="T41" s="156" t="s">
        <v>55</v>
      </c>
      <c r="U41" s="156" t="s">
        <v>55</v>
      </c>
      <c r="V41" s="156" t="s">
        <v>55</v>
      </c>
      <c r="W41" s="156" t="s">
        <v>298</v>
      </c>
      <c r="X41" s="157" t="s">
        <v>55</v>
      </c>
      <c r="Z41" s="156" t="s">
        <v>298</v>
      </c>
      <c r="AA41" s="156" t="s">
        <v>55</v>
      </c>
      <c r="AB41" s="156" t="s">
        <v>298</v>
      </c>
      <c r="AC41" s="156" t="s">
        <v>298</v>
      </c>
      <c r="AD41" s="157" t="s">
        <v>298</v>
      </c>
      <c r="AF41" s="156" t="s">
        <v>55</v>
      </c>
      <c r="AG41" s="156" t="s">
        <v>298</v>
      </c>
      <c r="AH41" s="156" t="s">
        <v>55</v>
      </c>
      <c r="AI41" s="156" t="s">
        <v>298</v>
      </c>
      <c r="AJ41" s="157" t="s">
        <v>298</v>
      </c>
      <c r="AL41" s="156" t="s">
        <v>55</v>
      </c>
      <c r="AM41" s="156" t="s">
        <v>298</v>
      </c>
      <c r="AN41" s="156" t="s">
        <v>55</v>
      </c>
      <c r="AO41" s="156" t="s">
        <v>298</v>
      </c>
      <c r="AP41" s="157" t="s">
        <v>298</v>
      </c>
      <c r="AR41" s="156" t="s">
        <v>298</v>
      </c>
      <c r="AS41" s="156" t="s">
        <v>210</v>
      </c>
      <c r="AT41" s="156" t="s">
        <v>298</v>
      </c>
      <c r="AU41" s="156" t="s">
        <v>298</v>
      </c>
      <c r="AV41" s="157" t="s">
        <v>201</v>
      </c>
      <c r="AX41" s="156" t="s">
        <v>55</v>
      </c>
      <c r="AY41" s="156" t="s">
        <v>298</v>
      </c>
      <c r="AZ41" s="156" t="s">
        <v>55</v>
      </c>
      <c r="BA41" s="156" t="s">
        <v>298</v>
      </c>
      <c r="BB41" s="157" t="s">
        <v>298</v>
      </c>
      <c r="BD41" s="156"/>
      <c r="BE41" s="156"/>
      <c r="BF41" s="156" t="s">
        <v>55</v>
      </c>
      <c r="BG41" s="156" t="s">
        <v>298</v>
      </c>
      <c r="BH41" s="157" t="s">
        <v>55</v>
      </c>
      <c r="BJ41" s="155" t="str">
        <f t="shared" si="0"/>
        <v>OK</v>
      </c>
      <c r="BK41" t="s">
        <v>18</v>
      </c>
    </row>
    <row r="42" spans="1:63" x14ac:dyDescent="0.35">
      <c r="A42" s="16" t="s">
        <v>353</v>
      </c>
      <c r="B42" s="156" t="s">
        <v>55</v>
      </c>
      <c r="C42" s="156" t="s">
        <v>55</v>
      </c>
      <c r="D42" s="156" t="s">
        <v>55</v>
      </c>
      <c r="E42" s="156" t="s">
        <v>55</v>
      </c>
      <c r="F42" s="157" t="s">
        <v>55</v>
      </c>
      <c r="H42" s="156" t="s">
        <v>298</v>
      </c>
      <c r="I42" s="156" t="s">
        <v>55</v>
      </c>
      <c r="J42" s="156" t="s">
        <v>298</v>
      </c>
      <c r="K42" s="156" t="s">
        <v>298</v>
      </c>
      <c r="L42" s="157" t="s">
        <v>298</v>
      </c>
      <c r="N42" s="156" t="s">
        <v>55</v>
      </c>
      <c r="O42" s="156" t="s">
        <v>298</v>
      </c>
      <c r="P42" s="156" t="s">
        <v>55</v>
      </c>
      <c r="Q42" s="156" t="s">
        <v>298</v>
      </c>
      <c r="R42" s="157" t="s">
        <v>298</v>
      </c>
      <c r="T42" s="156" t="s">
        <v>55</v>
      </c>
      <c r="U42" s="156" t="s">
        <v>55</v>
      </c>
      <c r="V42" s="156" t="s">
        <v>55</v>
      </c>
      <c r="W42" s="156" t="s">
        <v>298</v>
      </c>
      <c r="X42" s="157" t="s">
        <v>55</v>
      </c>
      <c r="Z42" s="156" t="s">
        <v>298</v>
      </c>
      <c r="AA42" s="156" t="s">
        <v>55</v>
      </c>
      <c r="AB42" s="156" t="s">
        <v>298</v>
      </c>
      <c r="AC42" s="156" t="s">
        <v>298</v>
      </c>
      <c r="AD42" s="157" t="s">
        <v>298</v>
      </c>
      <c r="AF42" s="156" t="s">
        <v>55</v>
      </c>
      <c r="AG42" s="156" t="s">
        <v>298</v>
      </c>
      <c r="AH42" s="156" t="s">
        <v>55</v>
      </c>
      <c r="AI42" s="156" t="s">
        <v>298</v>
      </c>
      <c r="AJ42" s="157" t="s">
        <v>298</v>
      </c>
      <c r="AL42" s="156" t="s">
        <v>55</v>
      </c>
      <c r="AM42" s="156" t="s">
        <v>298</v>
      </c>
      <c r="AN42" s="156" t="s">
        <v>55</v>
      </c>
      <c r="AO42" s="156" t="s">
        <v>298</v>
      </c>
      <c r="AP42" s="157" t="s">
        <v>298</v>
      </c>
      <c r="AR42" s="156" t="s">
        <v>298</v>
      </c>
      <c r="AS42" s="156" t="s">
        <v>55</v>
      </c>
      <c r="AT42" s="156" t="s">
        <v>298</v>
      </c>
      <c r="AU42" s="156" t="s">
        <v>298</v>
      </c>
      <c r="AV42" s="157" t="s">
        <v>55</v>
      </c>
      <c r="AX42" s="156" t="s">
        <v>55</v>
      </c>
      <c r="AY42" s="156" t="s">
        <v>298</v>
      </c>
      <c r="AZ42" s="156" t="s">
        <v>55</v>
      </c>
      <c r="BA42" s="156" t="s">
        <v>298</v>
      </c>
      <c r="BB42" s="157" t="s">
        <v>298</v>
      </c>
      <c r="BD42" s="156"/>
      <c r="BE42" s="156"/>
      <c r="BF42" s="156" t="s">
        <v>55</v>
      </c>
      <c r="BG42" s="156" t="s">
        <v>298</v>
      </c>
      <c r="BH42" s="157" t="s">
        <v>55</v>
      </c>
      <c r="BJ42" s="155" t="str">
        <f t="shared" si="0"/>
        <v>OK</v>
      </c>
      <c r="BK42" t="s">
        <v>353</v>
      </c>
    </row>
    <row r="43" spans="1:63" x14ac:dyDescent="0.35">
      <c r="A43" s="16" t="s">
        <v>354</v>
      </c>
      <c r="B43" s="156" t="s">
        <v>55</v>
      </c>
      <c r="C43" s="156" t="s">
        <v>55</v>
      </c>
      <c r="D43" s="156" t="s">
        <v>55</v>
      </c>
      <c r="E43" s="156" t="s">
        <v>55</v>
      </c>
      <c r="F43" s="157" t="s">
        <v>201</v>
      </c>
      <c r="H43" s="156" t="s">
        <v>298</v>
      </c>
      <c r="I43" s="156" t="s">
        <v>55</v>
      </c>
      <c r="J43" s="156" t="s">
        <v>298</v>
      </c>
      <c r="K43" s="156" t="s">
        <v>298</v>
      </c>
      <c r="L43" s="157" t="s">
        <v>298</v>
      </c>
      <c r="N43" s="156" t="s">
        <v>55</v>
      </c>
      <c r="O43" s="156" t="s">
        <v>298</v>
      </c>
      <c r="P43" s="156" t="s">
        <v>55</v>
      </c>
      <c r="Q43" s="156" t="s">
        <v>298</v>
      </c>
      <c r="R43" s="157" t="s">
        <v>298</v>
      </c>
      <c r="T43" s="156" t="s">
        <v>201</v>
      </c>
      <c r="U43" s="156" t="s">
        <v>55</v>
      </c>
      <c r="V43" s="156" t="s">
        <v>55</v>
      </c>
      <c r="W43" s="156" t="s">
        <v>298</v>
      </c>
      <c r="X43" s="157" t="s">
        <v>55</v>
      </c>
      <c r="Z43" s="156" t="s">
        <v>298</v>
      </c>
      <c r="AA43" s="156" t="s">
        <v>55</v>
      </c>
      <c r="AB43" s="156" t="s">
        <v>298</v>
      </c>
      <c r="AC43" s="156" t="s">
        <v>298</v>
      </c>
      <c r="AD43" s="157" t="s">
        <v>298</v>
      </c>
      <c r="AF43" s="156" t="s">
        <v>201</v>
      </c>
      <c r="AG43" s="156" t="s">
        <v>298</v>
      </c>
      <c r="AH43" s="156" t="s">
        <v>201</v>
      </c>
      <c r="AI43" s="156" t="s">
        <v>298</v>
      </c>
      <c r="AJ43" s="157" t="s">
        <v>298</v>
      </c>
      <c r="AL43" s="156" t="s">
        <v>55</v>
      </c>
      <c r="AM43" s="156" t="s">
        <v>298</v>
      </c>
      <c r="AN43" s="156" t="s">
        <v>55</v>
      </c>
      <c r="AO43" s="156" t="s">
        <v>298</v>
      </c>
      <c r="AP43" s="157" t="s">
        <v>298</v>
      </c>
      <c r="AR43" s="156" t="s">
        <v>298</v>
      </c>
      <c r="AS43" s="156" t="s">
        <v>55</v>
      </c>
      <c r="AT43" s="156" t="s">
        <v>298</v>
      </c>
      <c r="AU43" s="156" t="s">
        <v>298</v>
      </c>
      <c r="AV43" s="157" t="s">
        <v>55</v>
      </c>
      <c r="AX43" s="156" t="s">
        <v>55</v>
      </c>
      <c r="AY43" s="156" t="s">
        <v>298</v>
      </c>
      <c r="AZ43" s="156" t="s">
        <v>55</v>
      </c>
      <c r="BA43" s="156" t="s">
        <v>298</v>
      </c>
      <c r="BB43" s="157" t="s">
        <v>298</v>
      </c>
      <c r="BD43" s="156"/>
      <c r="BE43" s="156"/>
      <c r="BF43" s="156" t="s">
        <v>55</v>
      </c>
      <c r="BG43" s="156" t="s">
        <v>298</v>
      </c>
      <c r="BH43" s="157" t="s">
        <v>201</v>
      </c>
      <c r="BJ43" s="155" t="str">
        <f t="shared" si="0"/>
        <v>OK</v>
      </c>
      <c r="BK43" t="s">
        <v>354</v>
      </c>
    </row>
    <row r="44" spans="1:63" x14ac:dyDescent="0.35">
      <c r="A44" s="16" t="s">
        <v>409</v>
      </c>
      <c r="B44" s="156" t="s">
        <v>55</v>
      </c>
      <c r="C44" s="156" t="s">
        <v>55</v>
      </c>
      <c r="D44" s="156" t="s">
        <v>55</v>
      </c>
      <c r="E44" s="156" t="s">
        <v>55</v>
      </c>
      <c r="F44" s="157" t="s">
        <v>55</v>
      </c>
      <c r="H44" s="156" t="s">
        <v>298</v>
      </c>
      <c r="I44" s="156" t="s">
        <v>55</v>
      </c>
      <c r="J44" s="156" t="s">
        <v>298</v>
      </c>
      <c r="K44" s="156" t="s">
        <v>298</v>
      </c>
      <c r="L44" s="157" t="s">
        <v>298</v>
      </c>
      <c r="N44" s="156" t="s">
        <v>55</v>
      </c>
      <c r="O44" s="156" t="s">
        <v>298</v>
      </c>
      <c r="P44" s="156" t="s">
        <v>55</v>
      </c>
      <c r="Q44" s="156" t="s">
        <v>298</v>
      </c>
      <c r="R44" s="157" t="s">
        <v>298</v>
      </c>
      <c r="T44" s="156" t="s">
        <v>55</v>
      </c>
      <c r="U44" s="156" t="s">
        <v>55</v>
      </c>
      <c r="V44" s="156" t="s">
        <v>55</v>
      </c>
      <c r="W44" s="156" t="s">
        <v>298</v>
      </c>
      <c r="X44" s="157" t="s">
        <v>55</v>
      </c>
      <c r="Z44" s="156" t="s">
        <v>298</v>
      </c>
      <c r="AA44" s="156" t="s">
        <v>55</v>
      </c>
      <c r="AB44" s="156" t="s">
        <v>298</v>
      </c>
      <c r="AC44" s="156" t="s">
        <v>298</v>
      </c>
      <c r="AD44" s="157" t="s">
        <v>298</v>
      </c>
      <c r="AF44" s="156" t="s">
        <v>55</v>
      </c>
      <c r="AG44" s="156" t="s">
        <v>298</v>
      </c>
      <c r="AH44" s="156" t="s">
        <v>55</v>
      </c>
      <c r="AI44" s="156" t="s">
        <v>298</v>
      </c>
      <c r="AJ44" s="157" t="s">
        <v>298</v>
      </c>
      <c r="AL44" s="156" t="s">
        <v>210</v>
      </c>
      <c r="AM44" s="156" t="s">
        <v>298</v>
      </c>
      <c r="AN44" s="156" t="s">
        <v>55</v>
      </c>
      <c r="AO44" s="156" t="s">
        <v>298</v>
      </c>
      <c r="AP44" s="157" t="s">
        <v>298</v>
      </c>
      <c r="AR44" s="156" t="s">
        <v>298</v>
      </c>
      <c r="AS44" s="156" t="s">
        <v>55</v>
      </c>
      <c r="AT44" s="156" t="s">
        <v>298</v>
      </c>
      <c r="AU44" s="156" t="s">
        <v>298</v>
      </c>
      <c r="AV44" s="157" t="s">
        <v>55</v>
      </c>
      <c r="AX44" s="156" t="s">
        <v>55</v>
      </c>
      <c r="AY44" s="156" t="s">
        <v>298</v>
      </c>
      <c r="AZ44" s="156" t="s">
        <v>55</v>
      </c>
      <c r="BA44" s="156" t="s">
        <v>298</v>
      </c>
      <c r="BB44" s="157" t="s">
        <v>298</v>
      </c>
      <c r="BD44" s="156"/>
      <c r="BE44" s="156"/>
      <c r="BF44" s="156" t="s">
        <v>210</v>
      </c>
      <c r="BG44" s="156" t="s">
        <v>298</v>
      </c>
      <c r="BH44" s="157" t="s">
        <v>210</v>
      </c>
      <c r="BJ44" s="155" t="str">
        <f t="shared" si="0"/>
        <v>OK</v>
      </c>
      <c r="BK44" t="s">
        <v>409</v>
      </c>
    </row>
    <row r="45" spans="1:63" x14ac:dyDescent="0.35">
      <c r="A45" s="16" t="s">
        <v>28</v>
      </c>
      <c r="B45" s="156" t="s">
        <v>55</v>
      </c>
      <c r="C45" s="156" t="s">
        <v>55</v>
      </c>
      <c r="D45" s="156" t="s">
        <v>55</v>
      </c>
      <c r="E45" s="156" t="s">
        <v>55</v>
      </c>
      <c r="F45" s="157" t="s">
        <v>55</v>
      </c>
      <c r="H45" s="156" t="s">
        <v>298</v>
      </c>
      <c r="I45" s="156" t="s">
        <v>55</v>
      </c>
      <c r="J45" s="156" t="s">
        <v>298</v>
      </c>
      <c r="K45" s="156" t="s">
        <v>298</v>
      </c>
      <c r="L45" s="157" t="s">
        <v>298</v>
      </c>
      <c r="N45" s="156" t="s">
        <v>55</v>
      </c>
      <c r="O45" s="156" t="s">
        <v>298</v>
      </c>
      <c r="P45" s="156" t="s">
        <v>55</v>
      </c>
      <c r="Q45" s="156" t="s">
        <v>298</v>
      </c>
      <c r="R45" s="157" t="s">
        <v>298</v>
      </c>
      <c r="T45" s="156" t="s">
        <v>55</v>
      </c>
      <c r="U45" s="156" t="s">
        <v>55</v>
      </c>
      <c r="V45" s="156" t="s">
        <v>55</v>
      </c>
      <c r="W45" s="156" t="s">
        <v>298</v>
      </c>
      <c r="X45" s="157" t="s">
        <v>210</v>
      </c>
      <c r="Z45" s="156" t="s">
        <v>298</v>
      </c>
      <c r="AA45" s="156" t="s">
        <v>55</v>
      </c>
      <c r="AB45" s="156" t="s">
        <v>298</v>
      </c>
      <c r="AC45" s="156" t="s">
        <v>298</v>
      </c>
      <c r="AD45" s="157" t="s">
        <v>298</v>
      </c>
      <c r="AF45" s="156" t="s">
        <v>55</v>
      </c>
      <c r="AG45" s="156" t="s">
        <v>298</v>
      </c>
      <c r="AH45" s="156" t="s">
        <v>55</v>
      </c>
      <c r="AI45" s="156" t="s">
        <v>298</v>
      </c>
      <c r="AJ45" s="157" t="s">
        <v>298</v>
      </c>
      <c r="AL45" s="156" t="s">
        <v>55</v>
      </c>
      <c r="AM45" s="156" t="s">
        <v>298</v>
      </c>
      <c r="AN45" s="156" t="s">
        <v>210</v>
      </c>
      <c r="AO45" s="156" t="s">
        <v>298</v>
      </c>
      <c r="AP45" s="157" t="s">
        <v>298</v>
      </c>
      <c r="AR45" s="156" t="s">
        <v>298</v>
      </c>
      <c r="AS45" s="156" t="s">
        <v>210</v>
      </c>
      <c r="AT45" s="156" t="s">
        <v>298</v>
      </c>
      <c r="AU45" s="156" t="s">
        <v>298</v>
      </c>
      <c r="AV45" s="157" t="s">
        <v>210</v>
      </c>
      <c r="AX45" s="156" t="s">
        <v>55</v>
      </c>
      <c r="AY45" s="156" t="s">
        <v>298</v>
      </c>
      <c r="AZ45" s="156" t="s">
        <v>210</v>
      </c>
      <c r="BA45" s="156" t="s">
        <v>298</v>
      </c>
      <c r="BB45" s="157" t="s">
        <v>298</v>
      </c>
      <c r="BD45" s="156"/>
      <c r="BE45" s="156"/>
      <c r="BF45" s="156" t="s">
        <v>210</v>
      </c>
      <c r="BG45" s="156" t="s">
        <v>298</v>
      </c>
      <c r="BH45" s="157" t="s">
        <v>210</v>
      </c>
      <c r="BJ45" s="155" t="str">
        <f t="shared" si="0"/>
        <v>OK</v>
      </c>
      <c r="BK45" t="s">
        <v>28</v>
      </c>
    </row>
    <row r="46" spans="1:63" x14ac:dyDescent="0.35">
      <c r="A46" s="16" t="s">
        <v>29</v>
      </c>
      <c r="B46" s="156" t="s">
        <v>55</v>
      </c>
      <c r="C46" s="156" t="s">
        <v>55</v>
      </c>
      <c r="D46" s="156" t="s">
        <v>55</v>
      </c>
      <c r="E46" s="156" t="s">
        <v>55</v>
      </c>
      <c r="F46" s="157" t="s">
        <v>55</v>
      </c>
      <c r="H46" s="156" t="s">
        <v>298</v>
      </c>
      <c r="I46" s="156" t="s">
        <v>55</v>
      </c>
      <c r="J46" s="156" t="s">
        <v>298</v>
      </c>
      <c r="K46" s="156" t="s">
        <v>298</v>
      </c>
      <c r="L46" s="157" t="s">
        <v>298</v>
      </c>
      <c r="N46" s="156" t="s">
        <v>55</v>
      </c>
      <c r="O46" s="156" t="s">
        <v>298</v>
      </c>
      <c r="P46" s="156" t="s">
        <v>55</v>
      </c>
      <c r="Q46" s="156" t="s">
        <v>298</v>
      </c>
      <c r="R46" s="157" t="s">
        <v>298</v>
      </c>
      <c r="T46" s="156" t="s">
        <v>55</v>
      </c>
      <c r="U46" s="156" t="s">
        <v>210</v>
      </c>
      <c r="V46" s="156" t="s">
        <v>55</v>
      </c>
      <c r="W46" s="156" t="s">
        <v>298</v>
      </c>
      <c r="X46" s="157" t="s">
        <v>210</v>
      </c>
      <c r="Z46" s="156" t="s">
        <v>298</v>
      </c>
      <c r="AA46" s="156" t="s">
        <v>210</v>
      </c>
      <c r="AB46" s="156" t="s">
        <v>298</v>
      </c>
      <c r="AC46" s="156" t="s">
        <v>298</v>
      </c>
      <c r="AD46" s="157" t="s">
        <v>298</v>
      </c>
      <c r="AF46" s="156" t="s">
        <v>55</v>
      </c>
      <c r="AG46" s="156" t="s">
        <v>298</v>
      </c>
      <c r="AH46" s="156" t="s">
        <v>55</v>
      </c>
      <c r="AI46" s="156" t="s">
        <v>298</v>
      </c>
      <c r="AJ46" s="157" t="s">
        <v>298</v>
      </c>
      <c r="AL46" s="156" t="s">
        <v>210</v>
      </c>
      <c r="AM46" s="156" t="s">
        <v>298</v>
      </c>
      <c r="AN46" s="156" t="s">
        <v>210</v>
      </c>
      <c r="AO46" s="156" t="s">
        <v>298</v>
      </c>
      <c r="AP46" s="157" t="s">
        <v>298</v>
      </c>
      <c r="AR46" s="156" t="s">
        <v>298</v>
      </c>
      <c r="AS46" s="156" t="s">
        <v>210</v>
      </c>
      <c r="AT46" s="156" t="s">
        <v>298</v>
      </c>
      <c r="AU46" s="156" t="s">
        <v>298</v>
      </c>
      <c r="AV46" s="157" t="s">
        <v>210</v>
      </c>
      <c r="AX46" s="156" t="s">
        <v>210</v>
      </c>
      <c r="AY46" s="156" t="s">
        <v>298</v>
      </c>
      <c r="AZ46" s="156" t="s">
        <v>210</v>
      </c>
      <c r="BA46" s="156" t="s">
        <v>298</v>
      </c>
      <c r="BB46" s="157" t="s">
        <v>298</v>
      </c>
      <c r="BD46" s="156"/>
      <c r="BE46" s="156"/>
      <c r="BF46" s="156" t="s">
        <v>55</v>
      </c>
      <c r="BG46" s="156" t="s">
        <v>298</v>
      </c>
      <c r="BH46" s="157" t="s">
        <v>55</v>
      </c>
      <c r="BJ46" s="155" t="str">
        <f t="shared" si="0"/>
        <v>OK</v>
      </c>
      <c r="BK46" t="s">
        <v>29</v>
      </c>
    </row>
    <row r="47" spans="1:63" x14ac:dyDescent="0.35">
      <c r="A47" s="16" t="s">
        <v>359</v>
      </c>
      <c r="B47" s="156" t="s">
        <v>55</v>
      </c>
      <c r="C47" s="156" t="s">
        <v>55</v>
      </c>
      <c r="D47" s="156" t="s">
        <v>55</v>
      </c>
      <c r="E47" s="156" t="s">
        <v>55</v>
      </c>
      <c r="F47" s="157" t="s">
        <v>55</v>
      </c>
      <c r="H47" s="156" t="s">
        <v>298</v>
      </c>
      <c r="I47" s="156" t="s">
        <v>55</v>
      </c>
      <c r="J47" s="156" t="s">
        <v>298</v>
      </c>
      <c r="K47" s="156" t="s">
        <v>298</v>
      </c>
      <c r="L47" s="157" t="s">
        <v>298</v>
      </c>
      <c r="N47" s="156" t="s">
        <v>55</v>
      </c>
      <c r="O47" s="156" t="s">
        <v>298</v>
      </c>
      <c r="P47" s="156" t="s">
        <v>55</v>
      </c>
      <c r="Q47" s="156" t="s">
        <v>298</v>
      </c>
      <c r="R47" s="157" t="s">
        <v>298</v>
      </c>
      <c r="T47" s="156" t="s">
        <v>55</v>
      </c>
      <c r="U47" s="156" t="s">
        <v>55</v>
      </c>
      <c r="V47" s="156" t="s">
        <v>55</v>
      </c>
      <c r="W47" s="156" t="s">
        <v>298</v>
      </c>
      <c r="X47" s="157" t="s">
        <v>55</v>
      </c>
      <c r="Z47" s="156" t="s">
        <v>298</v>
      </c>
      <c r="AA47" s="156" t="s">
        <v>55</v>
      </c>
      <c r="AB47" s="156" t="s">
        <v>298</v>
      </c>
      <c r="AC47" s="156" t="s">
        <v>298</v>
      </c>
      <c r="AD47" s="157" t="s">
        <v>298</v>
      </c>
      <c r="AF47" s="156" t="s">
        <v>55</v>
      </c>
      <c r="AG47" s="156" t="s">
        <v>298</v>
      </c>
      <c r="AH47" s="156" t="s">
        <v>55</v>
      </c>
      <c r="AI47" s="156" t="s">
        <v>298</v>
      </c>
      <c r="AJ47" s="157" t="s">
        <v>298</v>
      </c>
      <c r="AL47" s="156" t="s">
        <v>210</v>
      </c>
      <c r="AM47" s="156" t="s">
        <v>298</v>
      </c>
      <c r="AN47" s="156" t="s">
        <v>210</v>
      </c>
      <c r="AO47" s="156" t="s">
        <v>298</v>
      </c>
      <c r="AP47" s="157" t="s">
        <v>298</v>
      </c>
      <c r="AR47" s="156" t="s">
        <v>298</v>
      </c>
      <c r="AS47" s="156" t="s">
        <v>210</v>
      </c>
      <c r="AT47" s="156" t="s">
        <v>298</v>
      </c>
      <c r="AU47" s="156" t="s">
        <v>298</v>
      </c>
      <c r="AV47" s="157" t="s">
        <v>210</v>
      </c>
      <c r="AX47" s="156" t="s">
        <v>55</v>
      </c>
      <c r="AY47" s="156" t="s">
        <v>298</v>
      </c>
      <c r="AZ47" s="156" t="s">
        <v>55</v>
      </c>
      <c r="BA47" s="156" t="s">
        <v>298</v>
      </c>
      <c r="BB47" s="157" t="s">
        <v>298</v>
      </c>
      <c r="BD47" s="156"/>
      <c r="BE47" s="156"/>
      <c r="BF47" s="156" t="s">
        <v>55</v>
      </c>
      <c r="BG47" s="156" t="s">
        <v>298</v>
      </c>
      <c r="BH47" s="157" t="s">
        <v>55</v>
      </c>
      <c r="BJ47" s="155" t="str">
        <f t="shared" si="0"/>
        <v>OK</v>
      </c>
      <c r="BK47" t="s">
        <v>359</v>
      </c>
    </row>
    <row r="48" spans="1:63" x14ac:dyDescent="0.35">
      <c r="A48" s="16" t="s">
        <v>30</v>
      </c>
      <c r="B48" s="156" t="s">
        <v>55</v>
      </c>
      <c r="C48" s="156" t="s">
        <v>55</v>
      </c>
      <c r="D48" s="156" t="s">
        <v>55</v>
      </c>
      <c r="E48" s="156" t="s">
        <v>55</v>
      </c>
      <c r="F48" s="157" t="s">
        <v>55</v>
      </c>
      <c r="H48" s="156" t="s">
        <v>298</v>
      </c>
      <c r="I48" s="156" t="s">
        <v>55</v>
      </c>
      <c r="J48" s="156" t="s">
        <v>298</v>
      </c>
      <c r="K48" s="156" t="s">
        <v>298</v>
      </c>
      <c r="L48" s="157" t="s">
        <v>298</v>
      </c>
      <c r="N48" s="156" t="s">
        <v>55</v>
      </c>
      <c r="O48" s="156" t="s">
        <v>298</v>
      </c>
      <c r="P48" s="156" t="s">
        <v>55</v>
      </c>
      <c r="Q48" s="156" t="s">
        <v>298</v>
      </c>
      <c r="R48" s="157" t="s">
        <v>298</v>
      </c>
      <c r="T48" s="156" t="s">
        <v>55</v>
      </c>
      <c r="U48" s="156" t="s">
        <v>55</v>
      </c>
      <c r="V48" s="156" t="s">
        <v>55</v>
      </c>
      <c r="W48" s="156" t="s">
        <v>298</v>
      </c>
      <c r="X48" s="157" t="s">
        <v>55</v>
      </c>
      <c r="Z48" s="156" t="s">
        <v>298</v>
      </c>
      <c r="AA48" s="156" t="s">
        <v>55</v>
      </c>
      <c r="AB48" s="156" t="s">
        <v>298</v>
      </c>
      <c r="AC48" s="156" t="s">
        <v>298</v>
      </c>
      <c r="AD48" s="157" t="s">
        <v>298</v>
      </c>
      <c r="AF48" s="156" t="s">
        <v>201</v>
      </c>
      <c r="AG48" s="156" t="s">
        <v>298</v>
      </c>
      <c r="AH48" s="156" t="s">
        <v>201</v>
      </c>
      <c r="AI48" s="156" t="s">
        <v>298</v>
      </c>
      <c r="AJ48" s="157" t="s">
        <v>298</v>
      </c>
      <c r="AL48" s="156" t="s">
        <v>210</v>
      </c>
      <c r="AM48" s="156" t="s">
        <v>298</v>
      </c>
      <c r="AN48" s="156" t="s">
        <v>210</v>
      </c>
      <c r="AO48" s="156" t="s">
        <v>298</v>
      </c>
      <c r="AP48" s="157" t="s">
        <v>298</v>
      </c>
      <c r="AR48" s="156" t="s">
        <v>298</v>
      </c>
      <c r="AS48" s="156" t="s">
        <v>210</v>
      </c>
      <c r="AT48" s="156" t="s">
        <v>298</v>
      </c>
      <c r="AU48" s="156" t="s">
        <v>298</v>
      </c>
      <c r="AV48" s="157" t="s">
        <v>210</v>
      </c>
      <c r="AX48" s="156" t="s">
        <v>55</v>
      </c>
      <c r="AY48" s="156" t="s">
        <v>298</v>
      </c>
      <c r="AZ48" s="156" t="s">
        <v>55</v>
      </c>
      <c r="BA48" s="156" t="s">
        <v>298</v>
      </c>
      <c r="BB48" s="157" t="s">
        <v>298</v>
      </c>
      <c r="BD48" s="156"/>
      <c r="BE48" s="156"/>
      <c r="BF48" s="156" t="s">
        <v>55</v>
      </c>
      <c r="BG48" s="156" t="s">
        <v>298</v>
      </c>
      <c r="BH48" s="157" t="s">
        <v>55</v>
      </c>
      <c r="BJ48" s="155" t="str">
        <f t="shared" si="0"/>
        <v>OK</v>
      </c>
      <c r="BK48" t="s">
        <v>30</v>
      </c>
    </row>
    <row r="49" spans="1:63" x14ac:dyDescent="0.35">
      <c r="A49" s="16" t="s">
        <v>31</v>
      </c>
      <c r="B49" s="156" t="s">
        <v>55</v>
      </c>
      <c r="C49" s="156" t="s">
        <v>55</v>
      </c>
      <c r="D49" s="156" t="s">
        <v>55</v>
      </c>
      <c r="E49" s="156" t="s">
        <v>55</v>
      </c>
      <c r="F49" s="157" t="s">
        <v>55</v>
      </c>
      <c r="H49" s="156" t="s">
        <v>298</v>
      </c>
      <c r="I49" s="156" t="s">
        <v>55</v>
      </c>
      <c r="J49" s="156" t="s">
        <v>298</v>
      </c>
      <c r="K49" s="156" t="s">
        <v>298</v>
      </c>
      <c r="L49" s="157" t="s">
        <v>298</v>
      </c>
      <c r="N49" s="156" t="s">
        <v>55</v>
      </c>
      <c r="O49" s="156" t="s">
        <v>298</v>
      </c>
      <c r="P49" s="156" t="s">
        <v>55</v>
      </c>
      <c r="Q49" s="156" t="s">
        <v>298</v>
      </c>
      <c r="R49" s="157" t="s">
        <v>298</v>
      </c>
      <c r="T49" s="156" t="s">
        <v>55</v>
      </c>
      <c r="U49" s="156" t="s">
        <v>55</v>
      </c>
      <c r="V49" s="156" t="s">
        <v>55</v>
      </c>
      <c r="W49" s="156" t="s">
        <v>298</v>
      </c>
      <c r="X49" s="157" t="s">
        <v>55</v>
      </c>
      <c r="Z49" s="156" t="s">
        <v>298</v>
      </c>
      <c r="AA49" s="156" t="s">
        <v>210</v>
      </c>
      <c r="AB49" s="156" t="s">
        <v>298</v>
      </c>
      <c r="AC49" s="156" t="s">
        <v>298</v>
      </c>
      <c r="AD49" s="157" t="s">
        <v>298</v>
      </c>
      <c r="AF49" s="156" t="s">
        <v>55</v>
      </c>
      <c r="AG49" s="156" t="s">
        <v>298</v>
      </c>
      <c r="AH49" s="156" t="s">
        <v>55</v>
      </c>
      <c r="AI49" s="156" t="s">
        <v>298</v>
      </c>
      <c r="AJ49" s="157" t="s">
        <v>298</v>
      </c>
      <c r="AL49" s="156" t="s">
        <v>210</v>
      </c>
      <c r="AM49" s="156" t="s">
        <v>298</v>
      </c>
      <c r="AN49" s="156" t="s">
        <v>210</v>
      </c>
      <c r="AO49" s="156" t="s">
        <v>298</v>
      </c>
      <c r="AP49" s="157" t="s">
        <v>298</v>
      </c>
      <c r="AR49" s="156" t="s">
        <v>298</v>
      </c>
      <c r="AS49" s="156" t="s">
        <v>210</v>
      </c>
      <c r="AT49" s="156" t="s">
        <v>298</v>
      </c>
      <c r="AU49" s="156" t="s">
        <v>298</v>
      </c>
      <c r="AV49" s="157" t="s">
        <v>210</v>
      </c>
      <c r="AX49" s="156" t="s">
        <v>210</v>
      </c>
      <c r="AY49" s="156" t="s">
        <v>298</v>
      </c>
      <c r="AZ49" s="156" t="s">
        <v>210</v>
      </c>
      <c r="BA49" s="156" t="s">
        <v>298</v>
      </c>
      <c r="BB49" s="157" t="s">
        <v>298</v>
      </c>
      <c r="BD49" s="156"/>
      <c r="BE49" s="156"/>
      <c r="BF49" s="156" t="s">
        <v>210</v>
      </c>
      <c r="BG49" s="156" t="s">
        <v>298</v>
      </c>
      <c r="BH49" s="157" t="s">
        <v>210</v>
      </c>
      <c r="BJ49" s="155" t="str">
        <f t="shared" si="0"/>
        <v>OK</v>
      </c>
      <c r="BK49" t="s">
        <v>31</v>
      </c>
    </row>
    <row r="50" spans="1:63" x14ac:dyDescent="0.35">
      <c r="A50" s="16" t="s">
        <v>32</v>
      </c>
      <c r="B50" s="156" t="s">
        <v>201</v>
      </c>
      <c r="C50" s="156" t="s">
        <v>55</v>
      </c>
      <c r="D50" s="156" t="s">
        <v>55</v>
      </c>
      <c r="E50" s="156" t="s">
        <v>55</v>
      </c>
      <c r="F50" s="157" t="s">
        <v>55</v>
      </c>
      <c r="H50" s="156" t="s">
        <v>298</v>
      </c>
      <c r="I50" s="156" t="s">
        <v>55</v>
      </c>
      <c r="J50" s="156" t="s">
        <v>298</v>
      </c>
      <c r="K50" s="156" t="s">
        <v>298</v>
      </c>
      <c r="L50" s="157" t="s">
        <v>298</v>
      </c>
      <c r="N50" s="156" t="s">
        <v>55</v>
      </c>
      <c r="O50" s="156" t="s">
        <v>298</v>
      </c>
      <c r="P50" s="156" t="s">
        <v>55</v>
      </c>
      <c r="Q50" s="156" t="s">
        <v>298</v>
      </c>
      <c r="R50" s="157" t="s">
        <v>298</v>
      </c>
      <c r="T50" s="156" t="s">
        <v>55</v>
      </c>
      <c r="U50" s="156" t="s">
        <v>201</v>
      </c>
      <c r="V50" s="156" t="s">
        <v>55</v>
      </c>
      <c r="W50" s="156" t="s">
        <v>298</v>
      </c>
      <c r="X50" s="157" t="s">
        <v>55</v>
      </c>
      <c r="Z50" s="156" t="s">
        <v>298</v>
      </c>
      <c r="AA50" s="156" t="s">
        <v>55</v>
      </c>
      <c r="AB50" s="156" t="s">
        <v>298</v>
      </c>
      <c r="AC50" s="156" t="s">
        <v>298</v>
      </c>
      <c r="AD50" s="157" t="s">
        <v>298</v>
      </c>
      <c r="AF50" s="156" t="s">
        <v>55</v>
      </c>
      <c r="AG50" s="156" t="s">
        <v>298</v>
      </c>
      <c r="AH50" s="156" t="s">
        <v>55</v>
      </c>
      <c r="AI50" s="156" t="s">
        <v>298</v>
      </c>
      <c r="AJ50" s="157" t="s">
        <v>298</v>
      </c>
      <c r="AL50" s="156" t="s">
        <v>210</v>
      </c>
      <c r="AM50" s="156" t="s">
        <v>298</v>
      </c>
      <c r="AN50" s="156" t="s">
        <v>210</v>
      </c>
      <c r="AO50" s="156" t="s">
        <v>298</v>
      </c>
      <c r="AP50" s="157" t="s">
        <v>298</v>
      </c>
      <c r="AR50" s="156" t="s">
        <v>298</v>
      </c>
      <c r="AS50" s="156" t="s">
        <v>210</v>
      </c>
      <c r="AT50" s="156" t="s">
        <v>298</v>
      </c>
      <c r="AU50" s="156" t="s">
        <v>298</v>
      </c>
      <c r="AV50" s="157" t="s">
        <v>55</v>
      </c>
      <c r="AX50" s="156" t="s">
        <v>210</v>
      </c>
      <c r="AY50" s="156" t="s">
        <v>298</v>
      </c>
      <c r="AZ50" s="156" t="s">
        <v>210</v>
      </c>
      <c r="BA50" s="156" t="s">
        <v>298</v>
      </c>
      <c r="BB50" s="157" t="s">
        <v>298</v>
      </c>
      <c r="BD50" s="156"/>
      <c r="BE50" s="156"/>
      <c r="BF50" s="156" t="s">
        <v>201</v>
      </c>
      <c r="BG50" s="156" t="s">
        <v>298</v>
      </c>
      <c r="BH50" s="157" t="s">
        <v>201</v>
      </c>
      <c r="BJ50" s="155" t="str">
        <f t="shared" si="0"/>
        <v>OK</v>
      </c>
      <c r="BK50" t="s">
        <v>32</v>
      </c>
    </row>
    <row r="51" spans="1:63" x14ac:dyDescent="0.35">
      <c r="A51" s="16" t="s">
        <v>33</v>
      </c>
      <c r="B51" s="156" t="s">
        <v>55</v>
      </c>
      <c r="C51" s="156" t="s">
        <v>55</v>
      </c>
      <c r="D51" s="156" t="s">
        <v>55</v>
      </c>
      <c r="E51" s="156" t="s">
        <v>201</v>
      </c>
      <c r="F51" s="157" t="s">
        <v>55</v>
      </c>
      <c r="H51" s="156" t="s">
        <v>298</v>
      </c>
      <c r="I51" s="156" t="s">
        <v>55</v>
      </c>
      <c r="J51" s="156" t="s">
        <v>298</v>
      </c>
      <c r="K51" s="156" t="s">
        <v>298</v>
      </c>
      <c r="L51" s="157" t="s">
        <v>298</v>
      </c>
      <c r="N51" s="156" t="s">
        <v>55</v>
      </c>
      <c r="O51" s="156" t="s">
        <v>298</v>
      </c>
      <c r="P51" s="156" t="s">
        <v>55</v>
      </c>
      <c r="Q51" s="156" t="s">
        <v>298</v>
      </c>
      <c r="R51" s="157" t="s">
        <v>298</v>
      </c>
      <c r="T51" s="156" t="s">
        <v>55</v>
      </c>
      <c r="U51" s="156" t="s">
        <v>55</v>
      </c>
      <c r="V51" s="156" t="s">
        <v>55</v>
      </c>
      <c r="W51" s="156" t="s">
        <v>298</v>
      </c>
      <c r="X51" s="157" t="s">
        <v>55</v>
      </c>
      <c r="Z51" s="156" t="s">
        <v>298</v>
      </c>
      <c r="AA51" s="156" t="s">
        <v>55</v>
      </c>
      <c r="AB51" s="156" t="s">
        <v>298</v>
      </c>
      <c r="AC51" s="156" t="s">
        <v>298</v>
      </c>
      <c r="AD51" s="157" t="s">
        <v>298</v>
      </c>
      <c r="AF51" s="156" t="s">
        <v>55</v>
      </c>
      <c r="AG51" s="156" t="s">
        <v>298</v>
      </c>
      <c r="AH51" s="156" t="s">
        <v>55</v>
      </c>
      <c r="AI51" s="156" t="s">
        <v>298</v>
      </c>
      <c r="AJ51" s="157" t="s">
        <v>298</v>
      </c>
      <c r="AL51" s="156" t="s">
        <v>55</v>
      </c>
      <c r="AM51" s="156" t="s">
        <v>298</v>
      </c>
      <c r="AN51" s="156" t="s">
        <v>55</v>
      </c>
      <c r="AO51" s="156" t="s">
        <v>298</v>
      </c>
      <c r="AP51" s="157" t="s">
        <v>298</v>
      </c>
      <c r="AR51" s="156" t="s">
        <v>298</v>
      </c>
      <c r="AS51" s="156" t="s">
        <v>210</v>
      </c>
      <c r="AT51" s="156" t="s">
        <v>298</v>
      </c>
      <c r="AU51" s="156" t="s">
        <v>298</v>
      </c>
      <c r="AV51" s="157" t="s">
        <v>55</v>
      </c>
      <c r="AX51" s="156" t="s">
        <v>55</v>
      </c>
      <c r="AY51" s="156" t="s">
        <v>298</v>
      </c>
      <c r="AZ51" s="156" t="s">
        <v>55</v>
      </c>
      <c r="BA51" s="156" t="s">
        <v>298</v>
      </c>
      <c r="BB51" s="157" t="s">
        <v>298</v>
      </c>
      <c r="BD51" s="156"/>
      <c r="BE51" s="156"/>
      <c r="BF51" s="156" t="s">
        <v>55</v>
      </c>
      <c r="BG51" s="156" t="s">
        <v>298</v>
      </c>
      <c r="BH51" s="157" t="s">
        <v>55</v>
      </c>
      <c r="BJ51" s="155" t="str">
        <f t="shared" si="0"/>
        <v>OK</v>
      </c>
      <c r="BK51" t="s">
        <v>33</v>
      </c>
    </row>
    <row r="52" spans="1:63" x14ac:dyDescent="0.35">
      <c r="A52" s="16"/>
      <c r="B52" s="16"/>
      <c r="C52" s="16"/>
      <c r="D52" s="16"/>
      <c r="E52" s="16"/>
      <c r="F52" s="16"/>
      <c r="H52" s="16"/>
      <c r="I52" s="16"/>
      <c r="J52" s="16"/>
      <c r="K52" s="16"/>
      <c r="L52" s="16"/>
      <c r="N52" s="16"/>
      <c r="O52" s="16"/>
      <c r="P52" s="16"/>
      <c r="Q52" s="16"/>
      <c r="R52" s="16"/>
      <c r="T52" s="16"/>
      <c r="U52" s="16"/>
      <c r="V52" s="16"/>
      <c r="W52" s="16"/>
      <c r="X52" s="16"/>
      <c r="Z52" s="16"/>
      <c r="AA52" s="16"/>
      <c r="AB52" s="16"/>
      <c r="AC52" s="16"/>
      <c r="AD52" s="16"/>
      <c r="AF52" s="16"/>
      <c r="AG52" s="16"/>
      <c r="AH52" s="16"/>
      <c r="AI52" s="16"/>
      <c r="AJ52" s="16"/>
      <c r="AL52" s="16"/>
      <c r="AM52" s="16"/>
      <c r="AN52" s="16"/>
      <c r="AO52" s="16"/>
      <c r="AP52" s="16"/>
      <c r="AR52" s="16"/>
      <c r="AS52" s="16"/>
      <c r="AT52" s="16"/>
      <c r="AU52" s="16"/>
      <c r="AV52" s="16"/>
      <c r="AX52" s="16"/>
      <c r="AY52" s="16"/>
      <c r="AZ52" s="16"/>
      <c r="BA52" s="16"/>
      <c r="BB52" s="16"/>
      <c r="BD52" s="16"/>
      <c r="BE52" s="16"/>
      <c r="BF52" s="16"/>
      <c r="BG52" s="16"/>
      <c r="BH52" s="16"/>
    </row>
    <row r="53" spans="1:63" x14ac:dyDescent="0.35">
      <c r="F53" s="97">
        <f>COUNTIF(F6:F51,"Y")</f>
        <v>42</v>
      </c>
      <c r="L53" s="97">
        <f>COUNTIF(L6:L51,"Y")</f>
        <v>0</v>
      </c>
      <c r="R53" s="97">
        <f>COUNTIF(R6:R51,"Y")</f>
        <v>0</v>
      </c>
      <c r="X53" s="97">
        <f>COUNTIF(X6:X51,"Y")</f>
        <v>41</v>
      </c>
      <c r="AD53" s="97">
        <f>COUNTIF(AD6:AD51,"Y")</f>
        <v>0</v>
      </c>
      <c r="AJ53" s="97">
        <f>COUNTIF(AJ6:AJ51,"Y")</f>
        <v>0</v>
      </c>
      <c r="AP53" s="97">
        <f>COUNTIF(AP6:AP51,"Y")</f>
        <v>0</v>
      </c>
      <c r="AV53" s="97">
        <f>COUNTIF(AV6:AV51,"Y")</f>
        <v>25</v>
      </c>
      <c r="BB53" s="97">
        <f>COUNTIF(BB6:BB51,"Y")</f>
        <v>0</v>
      </c>
      <c r="BH53" s="97">
        <f>COUNTIF(BH6:BH51,"Y")</f>
        <v>34</v>
      </c>
    </row>
  </sheetData>
  <sortState ref="A6:BH51">
    <sortCondition ref="A6"/>
  </sortState>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N114"/>
  <sheetViews>
    <sheetView showGridLines="0" zoomScaleNormal="100" workbookViewId="0">
      <selection activeCell="B3" sqref="B3:M4"/>
    </sheetView>
  </sheetViews>
  <sheetFormatPr defaultColWidth="9.1796875" defaultRowHeight="30" customHeight="1" x14ac:dyDescent="0.35"/>
  <cols>
    <col min="1" max="1" width="1.81640625" style="171" customWidth="1"/>
    <col min="2" max="2" width="30.1796875" style="171" customWidth="1"/>
    <col min="3" max="3" width="3" style="171" customWidth="1"/>
    <col min="4" max="4" width="30.1796875" style="171" customWidth="1"/>
    <col min="5" max="5" width="3" style="171" customWidth="1"/>
    <col min="6" max="6" width="30.1796875" style="171" customWidth="1"/>
    <col min="7" max="7" width="3" style="171" customWidth="1"/>
    <col min="8" max="8" width="22.7265625" style="171" customWidth="1"/>
    <col min="9" max="9" width="8.1796875" style="171" customWidth="1"/>
    <col min="10" max="10" width="3" style="171" customWidth="1"/>
    <col min="11" max="11" width="14" style="171" customWidth="1"/>
    <col min="12" max="12" width="2" style="171" customWidth="1"/>
    <col min="13" max="13" width="14" style="171" customWidth="1"/>
    <col min="14" max="14" width="1.81640625" style="171" customWidth="1"/>
    <col min="15" max="16384" width="9.1796875" style="171"/>
  </cols>
  <sheetData>
    <row r="1" spans="2:14" ht="8.25" customHeight="1" thickBot="1" x14ac:dyDescent="0.6">
      <c r="C1" s="188"/>
      <c r="D1" s="188"/>
      <c r="E1" s="188"/>
      <c r="F1" s="188"/>
      <c r="G1" s="188"/>
      <c r="H1" s="188"/>
      <c r="J1" s="188"/>
      <c r="K1" s="188"/>
      <c r="L1" s="170"/>
      <c r="M1" s="170"/>
    </row>
    <row r="2" spans="2:14" ht="38.25" customHeight="1" thickBot="1" x14ac:dyDescent="0.65">
      <c r="B2" s="189" t="s">
        <v>308</v>
      </c>
      <c r="C2" s="188"/>
      <c r="D2" s="188"/>
      <c r="E2" s="188"/>
      <c r="F2" s="188"/>
      <c r="G2" s="188"/>
      <c r="H2" s="188"/>
      <c r="J2" s="369" t="s">
        <v>334</v>
      </c>
      <c r="K2" s="369"/>
      <c r="L2" s="369">
        <v>2021</v>
      </c>
      <c r="M2" s="369"/>
    </row>
    <row r="3" spans="2:14" ht="21.75" customHeight="1" x14ac:dyDescent="0.35">
      <c r="B3" s="370" t="str">
        <f>'Home Page'!B4</f>
        <v>School of Social Work</v>
      </c>
      <c r="C3" s="370"/>
      <c r="D3" s="370"/>
      <c r="E3" s="370"/>
      <c r="F3" s="370"/>
      <c r="G3" s="370"/>
      <c r="H3" s="370"/>
      <c r="I3" s="370"/>
      <c r="J3" s="370"/>
      <c r="K3" s="370"/>
      <c r="L3" s="370"/>
      <c r="M3" s="370"/>
    </row>
    <row r="4" spans="2:14" ht="6.75" customHeight="1" thickBot="1" x14ac:dyDescent="0.4">
      <c r="B4" s="371"/>
      <c r="C4" s="371"/>
      <c r="D4" s="371"/>
      <c r="E4" s="371"/>
      <c r="F4" s="371"/>
      <c r="G4" s="371"/>
      <c r="H4" s="371"/>
      <c r="I4" s="371"/>
      <c r="J4" s="371"/>
      <c r="K4" s="371"/>
      <c r="L4" s="371"/>
      <c r="M4" s="371"/>
    </row>
    <row r="5" spans="2:14" ht="24" customHeight="1" thickBot="1" x14ac:dyDescent="0.4">
      <c r="B5" s="372" t="s">
        <v>236</v>
      </c>
      <c r="C5" s="372"/>
      <c r="D5" s="372"/>
      <c r="E5" s="372"/>
      <c r="F5" s="372"/>
      <c r="G5" s="372"/>
      <c r="H5" s="372"/>
      <c r="I5" s="372"/>
      <c r="J5" s="372"/>
      <c r="K5" s="372"/>
      <c r="L5" s="372"/>
      <c r="M5" s="372"/>
    </row>
    <row r="6" spans="2:14" s="174" customFormat="1" ht="18.75" customHeight="1" thickBot="1" x14ac:dyDescent="0.4">
      <c r="B6" s="172"/>
      <c r="C6" s="172"/>
      <c r="D6" s="173"/>
      <c r="E6" s="172"/>
      <c r="F6" s="172"/>
      <c r="G6" s="172"/>
      <c r="H6" s="172"/>
      <c r="J6" s="172"/>
      <c r="K6" s="373"/>
      <c r="L6" s="373"/>
      <c r="M6" s="373"/>
    </row>
    <row r="7" spans="2:14" s="237" customFormat="1" ht="28.5" customHeight="1" x14ac:dyDescent="0.35">
      <c r="B7" s="255" t="s">
        <v>332</v>
      </c>
      <c r="C7" s="256"/>
      <c r="D7" s="255" t="s">
        <v>330</v>
      </c>
      <c r="E7" s="256"/>
      <c r="F7" s="255" t="s">
        <v>331</v>
      </c>
      <c r="G7" s="256"/>
      <c r="H7" s="386" t="s">
        <v>333</v>
      </c>
      <c r="I7" s="387"/>
      <c r="J7" s="256"/>
      <c r="K7" s="374" t="str">
        <f>Calculations!B12</f>
        <v>Total Assets #</v>
      </c>
      <c r="L7" s="375"/>
      <c r="M7" s="376"/>
      <c r="N7" s="257"/>
    </row>
    <row r="8" spans="2:14" ht="42" customHeight="1" x14ac:dyDescent="0.35">
      <c r="B8" s="215">
        <f ca="1">IFERROR(Calculations!G8,"")</f>
        <v>1313.5262</v>
      </c>
      <c r="C8" s="175"/>
      <c r="D8" s="215">
        <f ca="1">IFERROR(Calculations!G9,"")</f>
        <v>376.86191999999983</v>
      </c>
      <c r="E8" s="170"/>
      <c r="F8" s="215">
        <f ca="1">IFERROR(Calculations!G10,"")</f>
        <v>109.98751000000001</v>
      </c>
      <c r="G8" s="170"/>
      <c r="H8" s="388">
        <f ca="1">IFERROR(Calculations!G11,"")</f>
        <v>3393.2322999999978</v>
      </c>
      <c r="I8" s="389"/>
      <c r="J8" s="176"/>
      <c r="K8" s="377">
        <f ca="1">IFERROR(Calculations!G12,"")</f>
        <v>22</v>
      </c>
      <c r="L8" s="378"/>
      <c r="M8" s="379"/>
    </row>
    <row r="9" spans="2:14" s="183" customFormat="1" ht="18.75" customHeight="1" x14ac:dyDescent="0.35">
      <c r="B9" s="177">
        <f ca="1">Calculations!H8</f>
        <v>0.3452789674493959</v>
      </c>
      <c r="C9" s="178"/>
      <c r="D9" s="179">
        <f ca="1">Calculations!H9</f>
        <v>0.18764054628161375</v>
      </c>
      <c r="E9" s="180"/>
      <c r="F9" s="179">
        <f ca="1">Calculations!H10</f>
        <v>-0.1708950043917401</v>
      </c>
      <c r="G9" s="180"/>
      <c r="H9" s="390">
        <f ca="1">Calculations!H11</f>
        <v>-1.3698447693506033E-2</v>
      </c>
      <c r="I9" s="391"/>
      <c r="J9" s="181"/>
      <c r="K9" s="380">
        <f ca="1">Calculations!H12</f>
        <v>0</v>
      </c>
      <c r="L9" s="381"/>
      <c r="M9" s="382"/>
      <c r="N9" s="182"/>
    </row>
    <row r="10" spans="2:14" ht="30" customHeight="1" x14ac:dyDescent="0.3">
      <c r="B10" s="184"/>
      <c r="C10" s="185"/>
      <c r="D10" s="184"/>
      <c r="E10" s="185"/>
      <c r="F10" s="184"/>
      <c r="G10" s="185"/>
      <c r="H10" s="392"/>
      <c r="I10" s="393"/>
      <c r="J10" s="234"/>
      <c r="K10" s="383"/>
      <c r="L10" s="384"/>
      <c r="M10" s="385"/>
      <c r="N10" s="186"/>
    </row>
    <row r="11" spans="2:14" ht="4.5" customHeight="1" thickBot="1" x14ac:dyDescent="0.4">
      <c r="B11" s="187"/>
      <c r="C11" s="170"/>
      <c r="D11" s="187"/>
      <c r="E11" s="170"/>
      <c r="F11" s="187"/>
      <c r="G11" s="170"/>
      <c r="H11" s="394"/>
      <c r="I11" s="395"/>
      <c r="J11" s="170"/>
      <c r="K11" s="366"/>
      <c r="L11" s="367"/>
      <c r="M11" s="368"/>
    </row>
    <row r="12" spans="2:14" ht="18.75" customHeight="1" thickBot="1" x14ac:dyDescent="0.4">
      <c r="B12" s="170"/>
      <c r="C12" s="170"/>
      <c r="D12" s="170"/>
      <c r="E12" s="170"/>
      <c r="F12" s="170"/>
      <c r="G12" s="170"/>
      <c r="H12" s="170"/>
      <c r="J12" s="170"/>
      <c r="K12" s="170"/>
      <c r="L12" s="170"/>
      <c r="M12" s="170"/>
    </row>
    <row r="13" spans="2:14" ht="24" customHeight="1" thickBot="1" x14ac:dyDescent="0.4">
      <c r="B13" s="403" t="s">
        <v>237</v>
      </c>
      <c r="C13" s="403"/>
      <c r="D13" s="403"/>
      <c r="E13" s="403"/>
      <c r="F13" s="403"/>
      <c r="G13" s="403"/>
      <c r="H13" s="403"/>
      <c r="I13" s="403"/>
      <c r="J13" s="403"/>
      <c r="K13" s="403"/>
      <c r="L13" s="403"/>
      <c r="M13" s="403"/>
    </row>
    <row r="14" spans="2:14" ht="18.75" customHeight="1" x14ac:dyDescent="0.35">
      <c r="B14" s="396"/>
      <c r="C14" s="396"/>
      <c r="D14" s="396"/>
      <c r="E14" s="396"/>
      <c r="F14" s="396"/>
      <c r="G14" s="396"/>
      <c r="H14" s="396"/>
      <c r="I14" s="396"/>
      <c r="J14" s="396"/>
      <c r="K14" s="396"/>
      <c r="L14" s="396"/>
      <c r="M14" s="396"/>
    </row>
    <row r="15" spans="2:14" s="237" customFormat="1" ht="18.75" customHeight="1" x14ac:dyDescent="0.35">
      <c r="B15" s="397" t="s">
        <v>238</v>
      </c>
      <c r="C15" s="397"/>
      <c r="D15" s="254" t="str">
        <f>"FISCAL YEAR ("&amp;SelectedYear&amp;")"</f>
        <v>FISCAL YEAR (2021)</v>
      </c>
      <c r="E15" s="398" t="str">
        <f>"PREVIOUS FISCAL YEAR ("&amp;SelectedYear-1&amp;")"</f>
        <v>PREVIOUS FISCAL YEAR (2020)</v>
      </c>
      <c r="F15" s="398"/>
      <c r="G15" s="398"/>
      <c r="H15" s="254" t="s">
        <v>248</v>
      </c>
      <c r="I15" s="254"/>
      <c r="J15" s="399" t="str">
        <f ca="1">CONCATENATE(Years," YEAR TREND")</f>
        <v>5 YEAR TREND</v>
      </c>
      <c r="K15" s="399"/>
      <c r="L15" s="399"/>
      <c r="M15" s="399"/>
    </row>
    <row r="16" spans="2:14" ht="15.5" x14ac:dyDescent="0.35">
      <c r="B16" s="404" t="s">
        <v>253</v>
      </c>
      <c r="C16" s="404"/>
      <c r="D16" s="404"/>
      <c r="E16" s="404"/>
      <c r="F16" s="404"/>
      <c r="G16" s="404"/>
      <c r="H16" s="404"/>
      <c r="I16" s="404"/>
      <c r="J16" s="404"/>
      <c r="K16" s="404"/>
      <c r="L16" s="404"/>
      <c r="M16" s="404"/>
    </row>
    <row r="17" spans="2:13" ht="15.5" x14ac:dyDescent="0.35">
      <c r="B17" s="236" t="s">
        <v>198</v>
      </c>
      <c r="C17" s="237"/>
      <c r="D17" s="237"/>
      <c r="E17" s="237"/>
      <c r="F17" s="237"/>
      <c r="G17" s="237"/>
      <c r="H17" s="237"/>
      <c r="J17" s="237"/>
      <c r="K17" s="237"/>
      <c r="L17" s="237"/>
      <c r="M17" s="237"/>
    </row>
    <row r="18" spans="2:13" ht="30" customHeight="1" x14ac:dyDescent="0.35">
      <c r="B18" s="405" t="str">
        <f>Calculations!B21</f>
        <v>Total Paid $</v>
      </c>
      <c r="C18" s="405"/>
      <c r="D18" s="238">
        <f ca="1">IF($B18="","",Calculations!G21)</f>
        <v>18895.54981</v>
      </c>
      <c r="E18" s="406">
        <f ca="1">IF($B18="","",Calculations!F21)</f>
        <v>18902.57098</v>
      </c>
      <c r="F18" s="406"/>
      <c r="G18" s="406"/>
      <c r="H18" s="242">
        <f ca="1">IFERROR(D18-E18,"")</f>
        <v>-7.0211699999999837</v>
      </c>
      <c r="I18" s="258"/>
      <c r="J18" s="402"/>
      <c r="K18" s="402"/>
      <c r="L18" s="402"/>
      <c r="M18" s="402"/>
    </row>
    <row r="19" spans="2:13" ht="30" customHeight="1" x14ac:dyDescent="0.35">
      <c r="B19" s="405" t="str">
        <f>Calculations!B22</f>
        <v>Total Transfers $</v>
      </c>
      <c r="C19" s="405"/>
      <c r="D19" s="238">
        <f ca="1">IF($B19="","",Calculations!G22)</f>
        <v>1313.5262</v>
      </c>
      <c r="E19" s="406">
        <f ca="1">IF($B19="","",Calculations!F22)</f>
        <v>976.39688999999896</v>
      </c>
      <c r="F19" s="406"/>
      <c r="G19" s="406"/>
      <c r="H19" s="242">
        <f ca="1">IFERROR(D19-E19,"")</f>
        <v>337.12931000000106</v>
      </c>
      <c r="I19" s="258"/>
      <c r="J19" s="402"/>
      <c r="K19" s="402"/>
      <c r="L19" s="402"/>
      <c r="M19" s="402"/>
    </row>
    <row r="20" spans="2:13" ht="30" customHeight="1" x14ac:dyDescent="0.35">
      <c r="B20" s="405" t="str">
        <f>Calculations!B24</f>
        <v>Total Transfers %</v>
      </c>
      <c r="C20" s="405"/>
      <c r="D20" s="240">
        <f ca="1">IF($B20="","",Calculations!G24)</f>
        <v>6.9515108753535657E-2</v>
      </c>
      <c r="E20" s="409">
        <f ca="1">IF($B20="","",Calculations!F24)</f>
        <v>5.1654184556856456E-2</v>
      </c>
      <c r="F20" s="409"/>
      <c r="G20" s="409"/>
      <c r="H20" s="241">
        <f ca="1">IFERROR(D20-E20,"")</f>
        <v>1.7860924196679201E-2</v>
      </c>
      <c r="J20" s="402"/>
      <c r="K20" s="402"/>
      <c r="L20" s="402"/>
      <c r="M20" s="402"/>
    </row>
    <row r="21" spans="2:13" ht="30" customHeight="1" x14ac:dyDescent="0.35">
      <c r="B21" s="407" t="str">
        <f>Calculations!B23</f>
        <v>Retro Salary Transfers &gt; 90 Days $</v>
      </c>
      <c r="C21" s="407"/>
      <c r="D21" s="238">
        <f ca="1">IF($B21="","",Calculations!G23)</f>
        <v>376.86191999999983</v>
      </c>
      <c r="E21" s="406">
        <f ca="1">IF($B21="","",Calculations!F23)</f>
        <v>317.31985000000009</v>
      </c>
      <c r="F21" s="406"/>
      <c r="G21" s="406"/>
      <c r="H21" s="242">
        <f ca="1">IFERROR(D21-E21,"")</f>
        <v>59.54206999999974</v>
      </c>
      <c r="I21" s="258"/>
      <c r="J21" s="402"/>
      <c r="K21" s="402"/>
      <c r="L21" s="402"/>
      <c r="M21" s="402"/>
    </row>
    <row r="22" spans="2:13" ht="30" customHeight="1" x14ac:dyDescent="0.35">
      <c r="B22" s="407" t="str">
        <f>Calculations!B25</f>
        <v>Transfers &gt; 90 Days %</v>
      </c>
      <c r="C22" s="407"/>
      <c r="D22" s="240">
        <f ca="1">IF($B22="","",Calculations!G25)</f>
        <v>1.994448025008275E-2</v>
      </c>
      <c r="E22" s="409">
        <f ca="1">IF($B22="","",Calculations!F25)</f>
        <v>1.6787126488547119E-2</v>
      </c>
      <c r="F22" s="409"/>
      <c r="G22" s="409"/>
      <c r="H22" s="243">
        <f ca="1">IFERROR(D22-E22,"")</f>
        <v>3.1573537615356313E-3</v>
      </c>
      <c r="I22" s="260"/>
      <c r="J22" s="402"/>
      <c r="K22" s="402"/>
      <c r="L22" s="402"/>
      <c r="M22" s="402"/>
    </row>
    <row r="23" spans="2:13" ht="15.5" x14ac:dyDescent="0.35">
      <c r="B23" s="244" t="s">
        <v>124</v>
      </c>
      <c r="C23" s="237"/>
      <c r="D23" s="237"/>
      <c r="E23" s="237"/>
      <c r="F23" s="237"/>
      <c r="G23" s="237"/>
      <c r="H23" s="237"/>
      <c r="J23" s="237"/>
      <c r="K23" s="237"/>
      <c r="L23" s="237"/>
      <c r="M23" s="237"/>
    </row>
    <row r="24" spans="2:13" ht="30" customHeight="1" x14ac:dyDescent="0.35">
      <c r="B24" s="407" t="str">
        <f>Calculations!B26</f>
        <v>Total Paid $</v>
      </c>
      <c r="C24" s="407"/>
      <c r="D24" s="245">
        <f ca="1">IF($B24="","",Calculations!G26)</f>
        <v>1934.8244400000003</v>
      </c>
      <c r="E24" s="408">
        <f ca="1">IF($B24="","",Calculations!F26)</f>
        <v>1980.4573399999929</v>
      </c>
      <c r="F24" s="408"/>
      <c r="G24" s="408"/>
      <c r="H24" s="239">
        <f ca="1">IFERROR(D24-E24,"")</f>
        <v>-45.63289999999256</v>
      </c>
      <c r="I24" s="260"/>
      <c r="J24" s="402"/>
      <c r="K24" s="402"/>
      <c r="L24" s="402"/>
      <c r="M24" s="402"/>
    </row>
    <row r="25" spans="2:13" ht="30" customHeight="1" x14ac:dyDescent="0.35">
      <c r="B25" s="407" t="str">
        <f>Calculations!B27</f>
        <v>Total Transfers $</v>
      </c>
      <c r="C25" s="407"/>
      <c r="D25" s="245">
        <f ca="1">IF($B25="","",Calculations!G27)</f>
        <v>607.83155000000056</v>
      </c>
      <c r="E25" s="408">
        <f ca="1">IF($B25="","",Calculations!F27)</f>
        <v>596.68530999999984</v>
      </c>
      <c r="F25" s="408"/>
      <c r="G25" s="408"/>
      <c r="H25" s="239">
        <f ca="1">IFERROR(D25-E25,"")</f>
        <v>11.146240000000716</v>
      </c>
      <c r="I25" s="260"/>
      <c r="J25" s="402"/>
      <c r="K25" s="402"/>
      <c r="L25" s="402"/>
      <c r="M25" s="402"/>
    </row>
    <row r="26" spans="2:13" ht="30" customHeight="1" x14ac:dyDescent="0.35">
      <c r="B26" s="407" t="str">
        <f>Calculations!B29</f>
        <v>Total Transfers %</v>
      </c>
      <c r="C26" s="407"/>
      <c r="D26" s="240">
        <f ca="1">IF($B26="","",Calculations!G29)</f>
        <v>0.31415333475940604</v>
      </c>
      <c r="E26" s="409">
        <f ca="1">IF($B26="","",Calculations!F29)</f>
        <v>0.30128662604769968</v>
      </c>
      <c r="F26" s="409"/>
      <c r="G26" s="409"/>
      <c r="H26" s="261">
        <f ca="1">IFERROR(D26-E26,"")*100</f>
        <v>1.2866708711706365</v>
      </c>
      <c r="I26" s="262" t="s">
        <v>335</v>
      </c>
      <c r="J26" s="402"/>
      <c r="K26" s="402"/>
      <c r="L26" s="402"/>
      <c r="M26" s="402"/>
    </row>
    <row r="27" spans="2:13" ht="30" customHeight="1" x14ac:dyDescent="0.35">
      <c r="B27" s="407" t="str">
        <f>Calculations!B28</f>
        <v>Transfers After PG End Date $</v>
      </c>
      <c r="C27" s="407"/>
      <c r="D27" s="245">
        <f ca="1">IF($B27="","",Calculations!G28)</f>
        <v>86.258769999999984</v>
      </c>
      <c r="E27" s="408">
        <f ca="1">IF($B27="","",Calculations!F28)</f>
        <v>57.940789999999986</v>
      </c>
      <c r="F27" s="408"/>
      <c r="G27" s="408"/>
      <c r="H27" s="242">
        <f ca="1">IFERROR(D27-E27,"")</f>
        <v>28.317979999999999</v>
      </c>
      <c r="I27" s="260"/>
      <c r="J27" s="402"/>
      <c r="K27" s="402"/>
      <c r="L27" s="402"/>
      <c r="M27" s="402"/>
    </row>
    <row r="28" spans="2:13" ht="30" customHeight="1" x14ac:dyDescent="0.35">
      <c r="B28" s="407" t="str">
        <f>Calculations!B30</f>
        <v>Transfers After PG End Date %</v>
      </c>
      <c r="C28" s="407"/>
      <c r="D28" s="240">
        <f ca="1">IF($B28="","",Calculations!G30)</f>
        <v>4.4582220596717279E-2</v>
      </c>
      <c r="E28" s="409">
        <f ca="1">IF($B28="","",Calculations!F30)</f>
        <v>2.9256267645734899E-2</v>
      </c>
      <c r="F28" s="409"/>
      <c r="G28" s="409"/>
      <c r="H28" s="261">
        <f ca="1">IFERROR(D28-E28,"")*100</f>
        <v>1.532595295098238</v>
      </c>
      <c r="I28" s="262" t="s">
        <v>335</v>
      </c>
      <c r="J28" s="402"/>
      <c r="K28" s="402"/>
      <c r="L28" s="402"/>
      <c r="M28" s="402"/>
    </row>
    <row r="29" spans="2:13" ht="15.5" x14ac:dyDescent="0.35">
      <c r="B29" s="244" t="s">
        <v>91</v>
      </c>
      <c r="C29" s="237"/>
      <c r="D29" s="237"/>
      <c r="E29" s="237"/>
      <c r="F29" s="237"/>
      <c r="G29" s="237"/>
      <c r="H29" s="237"/>
      <c r="J29" s="237"/>
      <c r="K29" s="237"/>
      <c r="L29" s="237"/>
      <c r="M29" s="237"/>
    </row>
    <row r="30" spans="2:13" ht="30" customHeight="1" x14ac:dyDescent="0.35">
      <c r="B30" s="407" t="str">
        <f>Calculations!B31</f>
        <v>Faculty/Staff Required to Certify #</v>
      </c>
      <c r="C30" s="407"/>
      <c r="D30" s="246">
        <f ca="1">IF($B30="","",Calculations!G31)</f>
        <v>60</v>
      </c>
      <c r="E30" s="410">
        <f ca="1">IF($B30="","",Calculations!F31)</f>
        <v>63</v>
      </c>
      <c r="F30" s="410"/>
      <c r="G30" s="410"/>
      <c r="H30" s="247">
        <f ca="1">IFERROR(D30-E30,"")</f>
        <v>-3</v>
      </c>
      <c r="I30" s="247"/>
      <c r="J30" s="402"/>
      <c r="K30" s="402"/>
      <c r="L30" s="402"/>
      <c r="M30" s="402"/>
    </row>
    <row r="31" spans="2:13" ht="30" customHeight="1" x14ac:dyDescent="0.35">
      <c r="B31" s="405" t="str">
        <f>Calculations!B32</f>
        <v>On-Time #</v>
      </c>
      <c r="C31" s="405"/>
      <c r="D31" s="246">
        <f ca="1">IF($B31="","",Calculations!G32)</f>
        <v>57</v>
      </c>
      <c r="E31" s="410">
        <f ca="1">IF($B31="","",Calculations!F32)</f>
        <v>55</v>
      </c>
      <c r="F31" s="410"/>
      <c r="G31" s="410"/>
      <c r="H31" s="260">
        <f ca="1">IFERROR(D31-E31,"")</f>
        <v>2</v>
      </c>
      <c r="I31" s="260"/>
      <c r="J31" s="402"/>
      <c r="K31" s="402"/>
      <c r="L31" s="402"/>
      <c r="M31" s="402"/>
    </row>
    <row r="32" spans="2:13" ht="30" customHeight="1" x14ac:dyDescent="0.35">
      <c r="B32" s="405" t="str">
        <f>Calculations!B33</f>
        <v>On-Time %</v>
      </c>
      <c r="C32" s="405"/>
      <c r="D32" s="240">
        <f ca="1">IF($B32="","",Calculations!G33)</f>
        <v>0.95</v>
      </c>
      <c r="E32" s="409">
        <f ca="1">IF($B32="","",Calculations!F33)</f>
        <v>0.87301587301587302</v>
      </c>
      <c r="F32" s="409"/>
      <c r="G32" s="409"/>
      <c r="H32" s="261">
        <f ca="1">IFERROR(D32-E32,"")*100</f>
        <v>7.6984126984126933</v>
      </c>
      <c r="I32" s="262" t="s">
        <v>335</v>
      </c>
      <c r="J32" s="402"/>
      <c r="K32" s="402"/>
      <c r="L32" s="402"/>
      <c r="M32" s="402"/>
    </row>
    <row r="33" spans="2:13" ht="15.5" x14ac:dyDescent="0.35">
      <c r="B33" s="404" t="s">
        <v>263</v>
      </c>
      <c r="C33" s="404"/>
      <c r="D33" s="404"/>
      <c r="E33" s="404"/>
      <c r="F33" s="404"/>
      <c r="G33" s="404"/>
      <c r="H33" s="404"/>
      <c r="I33" s="404"/>
      <c r="J33" s="404"/>
      <c r="K33" s="404"/>
      <c r="L33" s="404"/>
      <c r="M33" s="404"/>
    </row>
    <row r="34" spans="2:13" ht="15.5" x14ac:dyDescent="0.35">
      <c r="B34" s="236" t="s">
        <v>190</v>
      </c>
      <c r="C34" s="237"/>
      <c r="D34" s="237"/>
      <c r="E34" s="237"/>
      <c r="F34" s="237"/>
      <c r="G34" s="237"/>
      <c r="H34" s="237"/>
      <c r="J34" s="237"/>
      <c r="K34" s="237"/>
      <c r="L34" s="237"/>
      <c r="M34" s="237"/>
    </row>
    <row r="35" spans="2:13" ht="30" customHeight="1" x14ac:dyDescent="0.35">
      <c r="B35" s="405" t="str">
        <f>Calculations!B34</f>
        <v>Active Deposit Locations #</v>
      </c>
      <c r="C35" s="405"/>
      <c r="D35" s="249">
        <f ca="1">IF($B35="","",Calculations!G34)</f>
        <v>2</v>
      </c>
      <c r="E35" s="411">
        <f ca="1">IF($B35="","",Calculations!F34)</f>
        <v>2</v>
      </c>
      <c r="F35" s="411"/>
      <c r="G35" s="411"/>
      <c r="H35" s="259">
        <f t="shared" ref="H35:H92" ca="1" si="0">IFERROR(D35-E35,"")</f>
        <v>0</v>
      </c>
      <c r="I35" s="263"/>
      <c r="J35" s="402"/>
      <c r="K35" s="402"/>
      <c r="L35" s="402"/>
      <c r="M35" s="402"/>
    </row>
    <row r="36" spans="2:13" ht="30" customHeight="1" x14ac:dyDescent="0.35">
      <c r="B36" s="405" t="str">
        <f>Calculations!B35</f>
        <v>Deposits #</v>
      </c>
      <c r="C36" s="405"/>
      <c r="D36" s="246">
        <f ca="1">IF($B36="","",Calculations!G35)</f>
        <v>21</v>
      </c>
      <c r="E36" s="410">
        <f ca="1">IF($B36="","",Calculations!F35)</f>
        <v>58</v>
      </c>
      <c r="F36" s="410"/>
      <c r="G36" s="410"/>
      <c r="H36" s="259">
        <f t="shared" ca="1" si="0"/>
        <v>-37</v>
      </c>
      <c r="I36" s="263"/>
      <c r="J36" s="402"/>
      <c r="K36" s="402"/>
      <c r="L36" s="402"/>
      <c r="M36" s="402"/>
    </row>
    <row r="37" spans="2:13" ht="30" customHeight="1" x14ac:dyDescent="0.35">
      <c r="B37" s="405" t="str">
        <f>Calculations!B36</f>
        <v>Deposits $</v>
      </c>
      <c r="C37" s="405"/>
      <c r="D37" s="245">
        <f ca="1">IF($B37="","",Calculations!G36)</f>
        <v>109.98751000000001</v>
      </c>
      <c r="E37" s="408">
        <f ca="1">IF($B37="","",Calculations!F36)</f>
        <v>132.65812</v>
      </c>
      <c r="F37" s="408"/>
      <c r="G37" s="408"/>
      <c r="H37" s="242">
        <f t="shared" ca="1" si="0"/>
        <v>-22.670609999999982</v>
      </c>
      <c r="I37" s="258"/>
      <c r="J37" s="402"/>
      <c r="K37" s="402"/>
      <c r="L37" s="402"/>
      <c r="M37" s="402"/>
    </row>
    <row r="38" spans="2:13" ht="30" customHeight="1" x14ac:dyDescent="0.35">
      <c r="B38" s="405" t="str">
        <f>Calculations!B37</f>
        <v>Depositors #</v>
      </c>
      <c r="C38" s="405"/>
      <c r="D38" s="249">
        <f ca="1">IF($B38="","",Calculations!G37)</f>
        <v>3</v>
      </c>
      <c r="E38" s="411">
        <f ca="1">IF($B38="","",Calculations!F37)</f>
        <v>3</v>
      </c>
      <c r="F38" s="411"/>
      <c r="G38" s="411"/>
      <c r="H38" s="259">
        <f t="shared" ca="1" si="0"/>
        <v>0</v>
      </c>
      <c r="I38" s="263"/>
      <c r="J38" s="402"/>
      <c r="K38" s="402"/>
      <c r="L38" s="402"/>
      <c r="M38" s="402"/>
    </row>
    <row r="39" spans="2:13" ht="30" customHeight="1" x14ac:dyDescent="0.35">
      <c r="B39" s="407" t="str">
        <f>Calculations!B38</f>
        <v>Depositors - Up to Date on Training #</v>
      </c>
      <c r="C39" s="407"/>
      <c r="D39" s="249">
        <f ca="1">IF($B39="","",Calculations!G38)</f>
        <v>2</v>
      </c>
      <c r="E39" s="411">
        <f ca="1">IF($B39="","",Calculations!F38)</f>
        <v>2</v>
      </c>
      <c r="F39" s="411"/>
      <c r="G39" s="411"/>
      <c r="H39" s="259">
        <f t="shared" ca="1" si="0"/>
        <v>0</v>
      </c>
      <c r="I39" s="263"/>
      <c r="J39" s="402"/>
      <c r="K39" s="402"/>
      <c r="L39" s="402"/>
      <c r="M39" s="402"/>
    </row>
    <row r="40" spans="2:13" ht="30" customHeight="1" x14ac:dyDescent="0.35">
      <c r="B40" s="407" t="str">
        <f>Calculations!B39</f>
        <v>Depositors - Up to Date on Training %</v>
      </c>
      <c r="C40" s="407"/>
      <c r="D40" s="240">
        <f ca="1">IF($B40="","",Calculations!G39)</f>
        <v>0.66666666666666663</v>
      </c>
      <c r="E40" s="409">
        <f ca="1">IF($B40="","",Calculations!F39)</f>
        <v>0.66666666666666663</v>
      </c>
      <c r="F40" s="409"/>
      <c r="G40" s="409"/>
      <c r="H40" s="261">
        <f ca="1">IFERROR(D40-E40,"")*100</f>
        <v>0</v>
      </c>
      <c r="I40" s="262" t="s">
        <v>335</v>
      </c>
      <c r="J40" s="402"/>
      <c r="K40" s="402"/>
      <c r="L40" s="402"/>
      <c r="M40" s="402"/>
    </row>
    <row r="41" spans="2:13" ht="15.5" x14ac:dyDescent="0.35">
      <c r="B41" s="236" t="s">
        <v>191</v>
      </c>
      <c r="C41" s="237"/>
      <c r="D41" s="237"/>
      <c r="E41" s="237"/>
      <c r="F41" s="237"/>
      <c r="G41" s="237"/>
      <c r="H41" s="237"/>
      <c r="J41" s="237"/>
      <c r="K41" s="237"/>
      <c r="L41" s="237"/>
      <c r="M41" s="237"/>
    </row>
    <row r="42" spans="2:13" ht="30" customHeight="1" x14ac:dyDescent="0.35">
      <c r="B42" s="400" t="str">
        <f>Calculations!B40</f>
        <v>Merchants #</v>
      </c>
      <c r="C42" s="400"/>
      <c r="D42" s="249">
        <f ca="1">IF($B42="","",Calculations!G40)</f>
        <v>1</v>
      </c>
      <c r="E42" s="411">
        <f ca="1">IF($B42="","",Calculations!F40)</f>
        <v>1</v>
      </c>
      <c r="F42" s="411"/>
      <c r="G42" s="411"/>
      <c r="H42" s="247">
        <f t="shared" ca="1" si="0"/>
        <v>0</v>
      </c>
      <c r="I42" s="263"/>
      <c r="J42" s="402"/>
      <c r="K42" s="402"/>
      <c r="L42" s="402"/>
      <c r="M42" s="402"/>
    </row>
    <row r="43" spans="2:13" ht="30" customHeight="1" x14ac:dyDescent="0.35">
      <c r="B43" s="400" t="str">
        <f>Calculations!B41</f>
        <v>Merchants Compliant #</v>
      </c>
      <c r="C43" s="400"/>
      <c r="D43" s="249">
        <f ca="1">IF($B43="","",Calculations!G41)</f>
        <v>1</v>
      </c>
      <c r="E43" s="411">
        <f ca="1">IF($B43="","",Calculations!F41)</f>
        <v>1</v>
      </c>
      <c r="F43" s="411"/>
      <c r="G43" s="411"/>
      <c r="H43" s="247">
        <f t="shared" ca="1" si="0"/>
        <v>0</v>
      </c>
      <c r="I43" s="263"/>
      <c r="J43" s="402"/>
      <c r="K43" s="402"/>
      <c r="L43" s="402"/>
      <c r="M43" s="402"/>
    </row>
    <row r="44" spans="2:13" ht="30" customHeight="1" x14ac:dyDescent="0.35">
      <c r="B44" s="400" t="str">
        <f>Calculations!B42</f>
        <v>Merchants Compliant %</v>
      </c>
      <c r="C44" s="400"/>
      <c r="D44" s="240">
        <f ca="1">IF($B44="","",Calculations!G42)</f>
        <v>1</v>
      </c>
      <c r="E44" s="409">
        <f ca="1">IF($B44="","",Calculations!F42)</f>
        <v>1</v>
      </c>
      <c r="F44" s="409"/>
      <c r="G44" s="409"/>
      <c r="H44" s="261">
        <f ca="1">IFERROR(D44-E44,"")*100</f>
        <v>0</v>
      </c>
      <c r="I44" s="262" t="s">
        <v>335</v>
      </c>
      <c r="J44" s="402"/>
      <c r="K44" s="402"/>
      <c r="L44" s="402"/>
      <c r="M44" s="402"/>
    </row>
    <row r="45" spans="2:13" ht="30" customHeight="1" x14ac:dyDescent="0.35">
      <c r="B45" s="400" t="str">
        <f>Calculations!B43</f>
        <v>Sales #</v>
      </c>
      <c r="C45" s="400"/>
      <c r="D45" s="246">
        <f ca="1">IF($B45="","",Calculations!G43)</f>
        <v>1203</v>
      </c>
      <c r="E45" s="410">
        <f ca="1">IF($B45="","",Calculations!F43)</f>
        <v>903</v>
      </c>
      <c r="F45" s="410"/>
      <c r="G45" s="410"/>
      <c r="H45" s="247">
        <f t="shared" ca="1" si="0"/>
        <v>300</v>
      </c>
      <c r="I45" s="263"/>
      <c r="J45" s="402"/>
      <c r="K45" s="402"/>
      <c r="L45" s="402"/>
      <c r="M45" s="402"/>
    </row>
    <row r="46" spans="2:13" ht="30" customHeight="1" x14ac:dyDescent="0.35">
      <c r="B46" s="400" t="str">
        <f>Calculations!B44</f>
        <v>Sales $</v>
      </c>
      <c r="C46" s="400"/>
      <c r="D46" s="245">
        <f ca="1">IF($B46="","",Calculations!G44)</f>
        <v>719.13699999999994</v>
      </c>
      <c r="E46" s="408">
        <f ca="1">IF($B46="","",Calculations!F44)</f>
        <v>578.15231000000006</v>
      </c>
      <c r="F46" s="408"/>
      <c r="G46" s="408"/>
      <c r="H46" s="239">
        <f t="shared" ca="1" si="0"/>
        <v>140.98468999999989</v>
      </c>
      <c r="I46" s="263"/>
      <c r="J46" s="402"/>
      <c r="K46" s="402"/>
      <c r="L46" s="402"/>
      <c r="M46" s="402"/>
    </row>
    <row r="47" spans="2:13" ht="30" customHeight="1" x14ac:dyDescent="0.35">
      <c r="B47" s="400" t="str">
        <f>Calculations!B45</f>
        <v>Refunds #</v>
      </c>
      <c r="C47" s="400"/>
      <c r="D47" s="249">
        <f ca="1">IF($B47="","",Calculations!G45)</f>
        <v>47</v>
      </c>
      <c r="E47" s="401">
        <f ca="1">IF($B47="","",Calculations!F45)</f>
        <v>64</v>
      </c>
      <c r="F47" s="401"/>
      <c r="G47" s="401"/>
      <c r="H47" s="247">
        <f t="shared" ca="1" si="0"/>
        <v>-17</v>
      </c>
      <c r="I47" s="263"/>
      <c r="J47" s="402"/>
      <c r="K47" s="402"/>
      <c r="L47" s="402"/>
      <c r="M47" s="402"/>
    </row>
    <row r="48" spans="2:13" ht="30" customHeight="1" x14ac:dyDescent="0.35">
      <c r="B48" s="400" t="str">
        <f>Calculations!B46</f>
        <v>Refunds $</v>
      </c>
      <c r="C48" s="400"/>
      <c r="D48" s="245">
        <f ca="1">IF($B48="","",Calculations!G46)</f>
        <v>15.56</v>
      </c>
      <c r="E48" s="408">
        <f ca="1">IF($B48="","",Calculations!F46)</f>
        <v>15.728</v>
      </c>
      <c r="F48" s="408"/>
      <c r="G48" s="408"/>
      <c r="H48" s="239">
        <f t="shared" ca="1" si="0"/>
        <v>-0.16799999999999926</v>
      </c>
      <c r="I48" s="263"/>
      <c r="J48" s="402"/>
      <c r="K48" s="402"/>
      <c r="L48" s="402"/>
      <c r="M48" s="402"/>
    </row>
    <row r="49" spans="2:13" ht="30" customHeight="1" x14ac:dyDescent="0.35">
      <c r="B49" s="400" t="str">
        <f>Calculations!B47</f>
        <v>Authorized Users #</v>
      </c>
      <c r="C49" s="400"/>
      <c r="D49" s="249">
        <f ca="1">IF($B49="","",Calculations!G47)</f>
        <v>6</v>
      </c>
      <c r="E49" s="411">
        <f ca="1">IF($B49="","",Calculations!F47)</f>
        <v>5</v>
      </c>
      <c r="F49" s="411"/>
      <c r="G49" s="411"/>
      <c r="H49" s="247">
        <f t="shared" ca="1" si="0"/>
        <v>1</v>
      </c>
      <c r="I49" s="263"/>
      <c r="J49" s="402"/>
      <c r="K49" s="402"/>
      <c r="L49" s="402"/>
      <c r="M49" s="402"/>
    </row>
    <row r="50" spans="2:13" ht="30" customHeight="1" x14ac:dyDescent="0.35">
      <c r="B50" s="400" t="str">
        <f>Calculations!B48</f>
        <v>Users Up to Date on Training #</v>
      </c>
      <c r="C50" s="400"/>
      <c r="D50" s="249">
        <f ca="1">IF($B50="","",Calculations!G48)</f>
        <v>5</v>
      </c>
      <c r="E50" s="411">
        <f ca="1">IF($B50="","",Calculations!F48)</f>
        <v>5</v>
      </c>
      <c r="F50" s="411"/>
      <c r="G50" s="411"/>
      <c r="H50" s="248">
        <f t="shared" ca="1" si="0"/>
        <v>0</v>
      </c>
      <c r="I50" s="263"/>
      <c r="J50" s="402"/>
      <c r="K50" s="402"/>
      <c r="L50" s="402"/>
      <c r="M50" s="402"/>
    </row>
    <row r="51" spans="2:13" ht="30" customHeight="1" x14ac:dyDescent="0.35">
      <c r="B51" s="400" t="str">
        <f>Calculations!B49</f>
        <v>Users Up to Date on Training %</v>
      </c>
      <c r="C51" s="400"/>
      <c r="D51" s="240">
        <f ca="1">IF($B51="","",Calculations!G49)</f>
        <v>0.83333333333333337</v>
      </c>
      <c r="E51" s="409">
        <f ca="1">IF($B51="","",Calculations!F49)</f>
        <v>1</v>
      </c>
      <c r="F51" s="409"/>
      <c r="G51" s="409"/>
      <c r="H51" s="261">
        <f ca="1">IFERROR(D51-E51,"")*100</f>
        <v>-16.666666666666664</v>
      </c>
      <c r="I51" s="262" t="s">
        <v>335</v>
      </c>
      <c r="J51" s="402"/>
      <c r="K51" s="402"/>
      <c r="L51" s="402"/>
      <c r="M51" s="402"/>
    </row>
    <row r="52" spans="2:13" ht="15.5" x14ac:dyDescent="0.35">
      <c r="B52" s="404" t="s">
        <v>277</v>
      </c>
      <c r="C52" s="404"/>
      <c r="D52" s="404"/>
      <c r="E52" s="404"/>
      <c r="F52" s="404"/>
      <c r="G52" s="404"/>
      <c r="H52" s="404"/>
      <c r="I52" s="404"/>
      <c r="J52" s="404"/>
      <c r="K52" s="404"/>
      <c r="L52" s="404"/>
      <c r="M52" s="404"/>
    </row>
    <row r="53" spans="2:13" ht="15.5" x14ac:dyDescent="0.35">
      <c r="B53" s="236" t="s">
        <v>115</v>
      </c>
      <c r="C53" s="237"/>
      <c r="D53" s="237"/>
      <c r="E53" s="237"/>
      <c r="F53" s="237"/>
      <c r="G53" s="237"/>
      <c r="H53" s="237"/>
      <c r="J53" s="237"/>
      <c r="K53" s="237"/>
      <c r="L53" s="237"/>
      <c r="M53" s="237"/>
    </row>
    <row r="54" spans="2:13" ht="30" customHeight="1" x14ac:dyDescent="0.35">
      <c r="B54" s="400" t="str">
        <f>Calculations!B15</f>
        <v>Open PCards</v>
      </c>
      <c r="C54" s="400"/>
      <c r="D54" s="250">
        <f ca="1">IF($B54="","",Calculations!G15)</f>
        <v>21</v>
      </c>
      <c r="E54" s="401">
        <f ca="1">IF($B54="","",Calculations!F15)</f>
        <v>22</v>
      </c>
      <c r="F54" s="401"/>
      <c r="G54" s="401"/>
      <c r="H54" s="247">
        <f t="shared" ref="H54:H58" ca="1" si="1">IFERROR(D54-E54,"")</f>
        <v>-1</v>
      </c>
      <c r="I54" s="263"/>
      <c r="J54" s="402"/>
      <c r="K54" s="402"/>
      <c r="L54" s="402"/>
      <c r="M54" s="402"/>
    </row>
    <row r="55" spans="2:13" ht="30" customHeight="1" x14ac:dyDescent="0.35">
      <c r="B55" s="400" t="str">
        <f>Calculations!B16</f>
        <v>PCards Open for 6 Months</v>
      </c>
      <c r="C55" s="400"/>
      <c r="D55" s="250">
        <f ca="1">IF($B55="","",Calculations!G16)</f>
        <v>19</v>
      </c>
      <c r="E55" s="401">
        <f ca="1">IF($B55="","",Calculations!F16)</f>
        <v>20</v>
      </c>
      <c r="F55" s="401"/>
      <c r="G55" s="401"/>
      <c r="H55" s="247">
        <f t="shared" ca="1" si="1"/>
        <v>-1</v>
      </c>
      <c r="I55" s="263"/>
      <c r="J55" s="402"/>
      <c r="K55" s="402"/>
      <c r="L55" s="402"/>
      <c r="M55" s="402"/>
    </row>
    <row r="56" spans="2:13" ht="30" customHeight="1" x14ac:dyDescent="0.35">
      <c r="B56" s="400" t="str">
        <f>Calculations!B17</f>
        <v>Underutilized PCards #</v>
      </c>
      <c r="C56" s="400"/>
      <c r="D56" s="250">
        <f ca="1">IF($B56="","",Calculations!G17)</f>
        <v>0</v>
      </c>
      <c r="E56" s="401">
        <f ca="1">IF($B56="","",Calculations!F17)</f>
        <v>0</v>
      </c>
      <c r="F56" s="401"/>
      <c r="G56" s="401"/>
      <c r="H56" s="247">
        <f t="shared" ca="1" si="1"/>
        <v>0</v>
      </c>
      <c r="I56" s="263"/>
      <c r="J56" s="402"/>
      <c r="K56" s="402"/>
      <c r="L56" s="402"/>
      <c r="M56" s="402"/>
    </row>
    <row r="57" spans="2:13" ht="30" customHeight="1" x14ac:dyDescent="0.35">
      <c r="B57" s="400" t="str">
        <f>Calculations!B18</f>
        <v>Underutilized PCards %</v>
      </c>
      <c r="C57" s="400"/>
      <c r="D57" s="240">
        <f ca="1">IF($B57="","",Calculations!G18)</f>
        <v>0</v>
      </c>
      <c r="E57" s="409">
        <f ca="1">IF($B57="","",Calculations!F18)</f>
        <v>0</v>
      </c>
      <c r="F57" s="409"/>
      <c r="G57" s="409"/>
      <c r="H57" s="261">
        <f ca="1">IFERROR(D57-E57,"")*100</f>
        <v>0</v>
      </c>
      <c r="I57" s="262" t="s">
        <v>335</v>
      </c>
      <c r="J57" s="402"/>
      <c r="K57" s="402"/>
      <c r="L57" s="402"/>
      <c r="M57" s="402"/>
    </row>
    <row r="58" spans="2:13" ht="30" customHeight="1" x14ac:dyDescent="0.35">
      <c r="B58" s="400" t="str">
        <f>Calculations!B19</f>
        <v>Unused Pcards #</v>
      </c>
      <c r="C58" s="400"/>
      <c r="D58" s="250">
        <f ca="1">IF($B58="","",Calculations!G19)</f>
        <v>0</v>
      </c>
      <c r="E58" s="401">
        <f ca="1">IF($B58="","",Calculations!F19)</f>
        <v>0</v>
      </c>
      <c r="F58" s="401"/>
      <c r="G58" s="401"/>
      <c r="H58" s="248">
        <f t="shared" ca="1" si="1"/>
        <v>0</v>
      </c>
      <c r="I58" s="263"/>
      <c r="J58" s="402"/>
      <c r="K58" s="402"/>
      <c r="L58" s="402"/>
      <c r="M58" s="402"/>
    </row>
    <row r="59" spans="2:13" ht="30" customHeight="1" x14ac:dyDescent="0.35">
      <c r="B59" s="400" t="str">
        <f>Calculations!B20</f>
        <v>Unused Pcards %</v>
      </c>
      <c r="C59" s="400"/>
      <c r="D59" s="240">
        <f ca="1">IF($B59="","",Calculations!G20)</f>
        <v>0</v>
      </c>
      <c r="E59" s="409">
        <f ca="1">IF($B59="","",Calculations!F20)</f>
        <v>0</v>
      </c>
      <c r="F59" s="409"/>
      <c r="G59" s="409"/>
      <c r="H59" s="261">
        <f ca="1">IFERROR(D59-E59,"")*100</f>
        <v>0</v>
      </c>
      <c r="I59" s="262" t="s">
        <v>335</v>
      </c>
      <c r="J59" s="402"/>
      <c r="K59" s="402"/>
      <c r="L59" s="402"/>
      <c r="M59" s="402"/>
    </row>
    <row r="60" spans="2:13" ht="15.5" x14ac:dyDescent="0.35">
      <c r="B60" s="236" t="s">
        <v>336</v>
      </c>
      <c r="C60" s="237"/>
      <c r="D60" s="237"/>
      <c r="E60" s="237"/>
      <c r="F60" s="237"/>
      <c r="G60" s="237"/>
      <c r="H60" s="237"/>
      <c r="J60" s="237"/>
      <c r="K60" s="237"/>
      <c r="L60" s="237"/>
      <c r="M60" s="237"/>
    </row>
    <row r="61" spans="2:13" ht="30" customHeight="1" x14ac:dyDescent="0.35">
      <c r="B61" s="412" t="s">
        <v>362</v>
      </c>
      <c r="C61" s="412"/>
      <c r="D61" s="238">
        <f ca="1">IF($B61="","",Calculations!G68)</f>
        <v>241.6509699999998</v>
      </c>
      <c r="E61" s="408">
        <f ca="1">IF($B61="","",Calculations!F68)</f>
        <v>905.22874000000115</v>
      </c>
      <c r="F61" s="408"/>
      <c r="G61" s="408"/>
      <c r="H61" s="259">
        <f t="shared" ref="H61" ca="1" si="2">IFERROR(D61-E61,"")</f>
        <v>-663.57777000000135</v>
      </c>
      <c r="I61" s="263"/>
      <c r="J61" s="402"/>
      <c r="K61" s="402"/>
      <c r="L61" s="402"/>
      <c r="M61" s="402"/>
    </row>
    <row r="62" spans="2:13" ht="30" customHeight="1" x14ac:dyDescent="0.35">
      <c r="B62" s="412" t="str">
        <f>Calculations!B50</f>
        <v>Final Approvers #</v>
      </c>
      <c r="C62" s="412"/>
      <c r="D62" s="249">
        <f ca="1">IF($B62="","",Calculations!G50)</f>
        <v>3</v>
      </c>
      <c r="E62" s="411">
        <f ca="1">IF($B62="","",Calculations!F50)</f>
        <v>3</v>
      </c>
      <c r="F62" s="411"/>
      <c r="G62" s="411"/>
      <c r="H62" s="259">
        <f t="shared" ca="1" si="0"/>
        <v>0</v>
      </c>
      <c r="I62" s="263"/>
      <c r="J62" s="402"/>
      <c r="K62" s="402"/>
      <c r="L62" s="402"/>
      <c r="M62" s="402"/>
    </row>
    <row r="63" spans="2:13" ht="30" customHeight="1" x14ac:dyDescent="0.35">
      <c r="B63" s="412" t="str">
        <f>Calculations!B51</f>
        <v>Final Approvers Up to Date on Training #</v>
      </c>
      <c r="C63" s="412"/>
      <c r="D63" s="249">
        <f ca="1">IF($B63="","",Calculations!G51)</f>
        <v>2</v>
      </c>
      <c r="E63" s="411">
        <f ca="1">IF($B63="","",Calculations!F51)</f>
        <v>1</v>
      </c>
      <c r="F63" s="411"/>
      <c r="G63" s="411"/>
      <c r="H63" s="259">
        <f t="shared" ca="1" si="0"/>
        <v>1</v>
      </c>
      <c r="I63" s="263"/>
      <c r="J63" s="402"/>
      <c r="K63" s="402"/>
      <c r="L63" s="402"/>
      <c r="M63" s="402"/>
    </row>
    <row r="64" spans="2:13" ht="30" customHeight="1" x14ac:dyDescent="0.35">
      <c r="B64" s="412" t="str">
        <f>Calculations!B52</f>
        <v>Final Approvers Up to Date on Training %</v>
      </c>
      <c r="C64" s="412"/>
      <c r="D64" s="240">
        <f ca="1">IF($B64="","",Calculations!G52)</f>
        <v>0.66666666666666663</v>
      </c>
      <c r="E64" s="409">
        <f ca="1">IF($B64="","",Calculations!F52)</f>
        <v>0.33333333333333331</v>
      </c>
      <c r="F64" s="409"/>
      <c r="G64" s="409"/>
      <c r="H64" s="261">
        <f ca="1">IFERROR(D64-E64,"")*100</f>
        <v>33.333333333333329</v>
      </c>
      <c r="I64" s="262" t="s">
        <v>335</v>
      </c>
      <c r="J64" s="402"/>
      <c r="K64" s="402"/>
      <c r="L64" s="402"/>
      <c r="M64" s="402"/>
    </row>
    <row r="65" spans="2:13" ht="15.5" x14ac:dyDescent="0.35">
      <c r="B65" s="404" t="s">
        <v>282</v>
      </c>
      <c r="C65" s="404"/>
      <c r="D65" s="404"/>
      <c r="E65" s="404"/>
      <c r="F65" s="404"/>
      <c r="G65" s="404"/>
      <c r="H65" s="404"/>
      <c r="I65" s="404"/>
      <c r="J65" s="404"/>
      <c r="K65" s="404"/>
      <c r="L65" s="404"/>
      <c r="M65" s="404"/>
    </row>
    <row r="66" spans="2:13" ht="15.5" x14ac:dyDescent="0.35">
      <c r="B66" s="236"/>
      <c r="C66" s="237"/>
      <c r="D66" s="237"/>
      <c r="E66" s="237"/>
      <c r="F66" s="237"/>
      <c r="G66" s="237"/>
      <c r="H66" s="237"/>
      <c r="J66" s="237"/>
      <c r="K66" s="237"/>
      <c r="L66" s="237"/>
      <c r="M66" s="237"/>
    </row>
    <row r="67" spans="2:13" ht="30" customHeight="1" x14ac:dyDescent="0.35">
      <c r="B67" s="400" t="str">
        <f>Calculations!B53</f>
        <v>Gift Fund Balance $</v>
      </c>
      <c r="C67" s="400"/>
      <c r="D67" s="245">
        <f ca="1">IF($B67="","",Calculations!G53)</f>
        <v>3393.2322999999978</v>
      </c>
      <c r="E67" s="408">
        <f ca="1">IF($B67="","",Calculations!F53)</f>
        <v>3440.3598899999988</v>
      </c>
      <c r="F67" s="408"/>
      <c r="G67" s="408"/>
      <c r="H67" s="242">
        <f t="shared" ca="1" si="0"/>
        <v>-47.127590000000964</v>
      </c>
      <c r="I67" s="258"/>
      <c r="J67" s="402"/>
      <c r="K67" s="402"/>
      <c r="L67" s="402"/>
      <c r="M67" s="402"/>
    </row>
    <row r="68" spans="2:13" ht="30" customHeight="1" x14ac:dyDescent="0.35">
      <c r="B68" s="412" t="str">
        <f>Calculations!B54</f>
        <v>No Expenses &gt; 5 years #</v>
      </c>
      <c r="C68" s="412"/>
      <c r="D68" s="249">
        <f ca="1">IF($B68="","",Calculations!G54)</f>
        <v>8</v>
      </c>
      <c r="E68" s="411">
        <f ca="1">IF($B68="","",Calculations!F54)</f>
        <v>7</v>
      </c>
      <c r="F68" s="411"/>
      <c r="G68" s="411"/>
      <c r="H68" s="259">
        <f t="shared" ca="1" si="0"/>
        <v>1</v>
      </c>
      <c r="I68" s="263"/>
      <c r="J68" s="402"/>
      <c r="K68" s="402"/>
      <c r="L68" s="402"/>
      <c r="M68" s="402"/>
    </row>
    <row r="69" spans="2:13" ht="30" customHeight="1" x14ac:dyDescent="0.35">
      <c r="B69" s="412" t="str">
        <f>Calculations!B55</f>
        <v>No Expenses &gt; 5 years Balance $</v>
      </c>
      <c r="C69" s="412"/>
      <c r="D69" s="245">
        <f ca="1">IF($B69="","",Calculations!G55)</f>
        <v>155.04402000000002</v>
      </c>
      <c r="E69" s="408">
        <f ca="1">IF($B69="","",Calculations!F55)</f>
        <v>129.36783</v>
      </c>
      <c r="F69" s="408"/>
      <c r="G69" s="408"/>
      <c r="H69" s="242">
        <f t="shared" ca="1" si="0"/>
        <v>25.67619000000002</v>
      </c>
      <c r="I69" s="258"/>
      <c r="J69" s="402"/>
      <c r="K69" s="402"/>
      <c r="L69" s="402"/>
      <c r="M69" s="402"/>
    </row>
    <row r="70" spans="2:13" ht="15.5" x14ac:dyDescent="0.35">
      <c r="B70" s="404" t="s">
        <v>286</v>
      </c>
      <c r="C70" s="404"/>
      <c r="D70" s="404"/>
      <c r="E70" s="404"/>
      <c r="F70" s="404"/>
      <c r="G70" s="404"/>
      <c r="H70" s="404"/>
      <c r="I70" s="404"/>
      <c r="J70" s="404"/>
      <c r="K70" s="404"/>
      <c r="L70" s="404"/>
      <c r="M70" s="404"/>
    </row>
    <row r="71" spans="2:13" ht="15.5" x14ac:dyDescent="0.35">
      <c r="B71" s="236"/>
      <c r="C71" s="237"/>
      <c r="D71" s="237"/>
      <c r="E71" s="237"/>
      <c r="F71" s="237"/>
      <c r="G71" s="237"/>
      <c r="H71" s="237"/>
      <c r="J71" s="237"/>
      <c r="K71" s="237"/>
      <c r="L71" s="237"/>
      <c r="M71" s="237"/>
    </row>
    <row r="72" spans="2:13" ht="30" customHeight="1" x14ac:dyDescent="0.35">
      <c r="B72" s="400" t="str">
        <f>Calculations!B56</f>
        <v>Total Disbursed $</v>
      </c>
      <c r="C72" s="400"/>
      <c r="D72" s="245">
        <f ca="1">IF($B72="","",Calculations!G56)</f>
        <v>9825.0190900000052</v>
      </c>
      <c r="E72" s="408">
        <f ca="1">IF($B72="","",Calculations!F56)</f>
        <v>10307.286660000003</v>
      </c>
      <c r="F72" s="408"/>
      <c r="G72" s="408"/>
      <c r="H72" s="239">
        <f t="shared" ca="1" si="0"/>
        <v>-482.26756999999816</v>
      </c>
      <c r="I72" s="263"/>
      <c r="J72" s="402"/>
      <c r="K72" s="402"/>
      <c r="L72" s="402"/>
      <c r="M72" s="402"/>
    </row>
    <row r="73" spans="2:13" ht="30" customHeight="1" x14ac:dyDescent="0.35">
      <c r="B73" s="400" t="str">
        <f>Calculations!B57</f>
        <v>Overrides $</v>
      </c>
      <c r="C73" s="400"/>
      <c r="D73" s="245">
        <f ca="1">IF($B73="","",Calculations!G57)</f>
        <v>680.20810999999969</v>
      </c>
      <c r="E73" s="408">
        <f ca="1">IF($B73="","",Calculations!F57)</f>
        <v>624.94149000000004</v>
      </c>
      <c r="F73" s="408"/>
      <c r="G73" s="408"/>
      <c r="H73" s="239">
        <f t="shared" ca="1" si="0"/>
        <v>55.266619999999648</v>
      </c>
      <c r="I73" s="263"/>
      <c r="J73" s="402"/>
      <c r="K73" s="402"/>
      <c r="L73" s="402"/>
      <c r="M73" s="402"/>
    </row>
    <row r="74" spans="2:13" ht="30" customHeight="1" x14ac:dyDescent="0.35">
      <c r="B74" s="400" t="str">
        <f>Calculations!B58</f>
        <v>Overrides %</v>
      </c>
      <c r="C74" s="400"/>
      <c r="D74" s="240">
        <f ca="1">IF($B74="","",Calculations!G58)</f>
        <v>6.9232243089717926E-2</v>
      </c>
      <c r="E74" s="409">
        <f ca="1">IF($B74="","",Calculations!F58)</f>
        <v>6.0631038081558487E-2</v>
      </c>
      <c r="F74" s="409"/>
      <c r="G74" s="409"/>
      <c r="H74" s="264">
        <f ca="1">IFERROR(D74-E74,"")*100</f>
        <v>0.86012050081594393</v>
      </c>
      <c r="I74" s="263" t="s">
        <v>335</v>
      </c>
      <c r="J74" s="402"/>
      <c r="K74" s="402"/>
      <c r="L74" s="402"/>
      <c r="M74" s="402"/>
    </row>
    <row r="75" spans="2:13" ht="30" customHeight="1" x14ac:dyDescent="0.35">
      <c r="B75" s="412" t="str">
        <f>Calculations!B59</f>
        <v>No Disbursement Rules Applied (DR4) $</v>
      </c>
      <c r="C75" s="412"/>
      <c r="D75" s="245">
        <f ca="1">IF($B75="","",Calculations!G59)</f>
        <v>642.33908000000008</v>
      </c>
      <c r="E75" s="408">
        <f ca="1">IF($B75="","",Calculations!F59)</f>
        <v>732.55997999999977</v>
      </c>
      <c r="F75" s="408"/>
      <c r="G75" s="408"/>
      <c r="H75" s="239">
        <f t="shared" ca="1" si="0"/>
        <v>-90.220899999999688</v>
      </c>
      <c r="J75" s="402"/>
      <c r="K75" s="402"/>
      <c r="L75" s="402"/>
      <c r="M75" s="402"/>
    </row>
    <row r="76" spans="2:13" ht="30" customHeight="1" x14ac:dyDescent="0.35">
      <c r="B76" s="412" t="str">
        <f>Calculations!B60</f>
        <v>No Disbursement Rules Applied (DR4) %</v>
      </c>
      <c r="C76" s="412"/>
      <c r="D76" s="240">
        <f ca="1">IF($B76="","",Calculations!G60)</f>
        <v>6.5377896380250156E-2</v>
      </c>
      <c r="E76" s="409">
        <f ca="1">IF($B76="","",Calculations!F60)</f>
        <v>7.10720487519651E-2</v>
      </c>
      <c r="F76" s="409"/>
      <c r="G76" s="409"/>
      <c r="H76" s="264">
        <f ca="1">IFERROR(D76-E76,"")*100</f>
        <v>-0.56941523717149445</v>
      </c>
      <c r="I76" s="263" t="s">
        <v>335</v>
      </c>
      <c r="J76" s="402"/>
      <c r="K76" s="402"/>
      <c r="L76" s="402"/>
      <c r="M76" s="402"/>
    </row>
    <row r="77" spans="2:13" ht="30" customHeight="1" x14ac:dyDescent="0.35">
      <c r="B77" s="412" t="str">
        <f>Calculations!B61</f>
        <v>Non Traditional Students #</v>
      </c>
      <c r="C77" s="412"/>
      <c r="D77" s="249">
        <f ca="1">IF($B77="","",Calculations!G61)</f>
        <v>0</v>
      </c>
      <c r="E77" s="411">
        <f ca="1">IF($B77="","",Calculations!F61)</f>
        <v>0</v>
      </c>
      <c r="F77" s="411"/>
      <c r="G77" s="411"/>
      <c r="H77" s="247">
        <f t="shared" ca="1" si="0"/>
        <v>0</v>
      </c>
      <c r="I77" s="263"/>
      <c r="J77" s="402"/>
      <c r="K77" s="402"/>
      <c r="L77" s="402"/>
      <c r="M77" s="402"/>
    </row>
    <row r="78" spans="2:13" ht="30" customHeight="1" x14ac:dyDescent="0.35">
      <c r="B78" s="412" t="str">
        <f>Calculations!B62</f>
        <v>Non Traditional Students $</v>
      </c>
      <c r="C78" s="412"/>
      <c r="D78" s="245">
        <f ca="1">IF($B78="","",Calculations!G62)</f>
        <v>0</v>
      </c>
      <c r="E78" s="408">
        <f ca="1">IF($B78="","",Calculations!F62)</f>
        <v>0</v>
      </c>
      <c r="F78" s="408"/>
      <c r="G78" s="408"/>
      <c r="H78" s="242">
        <f t="shared" ca="1" si="0"/>
        <v>0</v>
      </c>
      <c r="I78" s="263"/>
      <c r="J78" s="402"/>
      <c r="K78" s="402"/>
      <c r="L78" s="402"/>
      <c r="M78" s="402"/>
    </row>
    <row r="79" spans="2:13" ht="15.5" x14ac:dyDescent="0.35">
      <c r="B79" s="404" t="s">
        <v>214</v>
      </c>
      <c r="C79" s="404"/>
      <c r="D79" s="404"/>
      <c r="E79" s="404"/>
      <c r="F79" s="404"/>
      <c r="G79" s="404"/>
      <c r="H79" s="404"/>
      <c r="I79" s="404"/>
      <c r="J79" s="404"/>
      <c r="K79" s="404"/>
      <c r="L79" s="404"/>
      <c r="M79" s="404"/>
    </row>
    <row r="80" spans="2:13" ht="15.5" x14ac:dyDescent="0.35">
      <c r="B80" s="236" t="s">
        <v>37</v>
      </c>
      <c r="C80" s="237"/>
      <c r="D80" s="237"/>
      <c r="E80" s="237"/>
      <c r="F80" s="237"/>
      <c r="G80" s="237"/>
      <c r="H80" s="237"/>
      <c r="J80" s="237"/>
      <c r="K80" s="237"/>
      <c r="L80" s="237"/>
      <c r="M80" s="237"/>
    </row>
    <row r="81" spans="2:13" ht="30" customHeight="1" x14ac:dyDescent="0.35">
      <c r="B81" s="400" t="str">
        <f>Calculations!B63</f>
        <v>Total Assets #</v>
      </c>
      <c r="C81" s="400"/>
      <c r="D81" s="246">
        <f ca="1">IF($B81="","",Calculations!G63)</f>
        <v>22</v>
      </c>
      <c r="E81" s="410">
        <f ca="1">IF($B81="","",Calculations!F63)</f>
        <v>22</v>
      </c>
      <c r="F81" s="410"/>
      <c r="G81" s="410"/>
      <c r="H81" s="259">
        <f t="shared" ca="1" si="0"/>
        <v>0</v>
      </c>
      <c r="I81" s="263"/>
      <c r="J81" s="402"/>
      <c r="K81" s="402"/>
      <c r="L81" s="402"/>
      <c r="M81" s="402"/>
    </row>
    <row r="82" spans="2:13" ht="30" customHeight="1" x14ac:dyDescent="0.35">
      <c r="B82" s="400" t="str">
        <f>Calculations!B64</f>
        <v>Blank Custodians #</v>
      </c>
      <c r="C82" s="400"/>
      <c r="D82" s="246">
        <f ca="1">IF($B82="","",Calculations!G64)</f>
        <v>0</v>
      </c>
      <c r="E82" s="410">
        <f ca="1">IF($B82="","",Calculations!F64)</f>
        <v>0</v>
      </c>
      <c r="F82" s="410"/>
      <c r="G82" s="410"/>
      <c r="H82" s="259">
        <f t="shared" ca="1" si="0"/>
        <v>0</v>
      </c>
      <c r="I82" s="263"/>
      <c r="J82" s="402"/>
      <c r="K82" s="402"/>
      <c r="L82" s="402"/>
      <c r="M82" s="402"/>
    </row>
    <row r="83" spans="2:13" ht="30" customHeight="1" x14ac:dyDescent="0.35">
      <c r="B83" s="400" t="str">
        <f>Calculations!B65</f>
        <v>Blank Custodians %</v>
      </c>
      <c r="C83" s="400"/>
      <c r="D83" s="240">
        <f ca="1">IF($B83="","",Calculations!G65)</f>
        <v>0</v>
      </c>
      <c r="E83" s="409">
        <f ca="1">IF($B83="","",Calculations!F65)</f>
        <v>0</v>
      </c>
      <c r="F83" s="409"/>
      <c r="G83" s="409"/>
      <c r="H83" s="264">
        <f ca="1">IFERROR(D83-E83,"")*100</f>
        <v>0</v>
      </c>
      <c r="I83" s="263" t="s">
        <v>335</v>
      </c>
      <c r="J83" s="402"/>
      <c r="K83" s="402"/>
      <c r="L83" s="402"/>
      <c r="M83" s="402"/>
    </row>
    <row r="84" spans="2:13" ht="30" hidden="1" customHeight="1" x14ac:dyDescent="0.35">
      <c r="B84" s="400" t="str">
        <f>Calculations!B71</f>
        <v>Unused Metric</v>
      </c>
      <c r="C84" s="400"/>
      <c r="D84" s="246">
        <f ca="1">IF($B84="","",Calculations!G71)</f>
        <v>0</v>
      </c>
      <c r="E84" s="410">
        <f ca="1">IF($B84="","",Calculations!F71)</f>
        <v>0</v>
      </c>
      <c r="F84" s="410"/>
      <c r="G84" s="410"/>
      <c r="H84" s="251">
        <f t="shared" ca="1" si="0"/>
        <v>0</v>
      </c>
      <c r="J84" s="402"/>
      <c r="K84" s="402"/>
      <c r="L84" s="402"/>
      <c r="M84" s="402"/>
    </row>
    <row r="85" spans="2:13" ht="15.5" x14ac:dyDescent="0.35">
      <c r="B85" s="236" t="s">
        <v>38</v>
      </c>
      <c r="C85" s="237"/>
      <c r="D85" s="237"/>
      <c r="E85" s="237"/>
      <c r="F85" s="237"/>
      <c r="G85" s="237"/>
      <c r="H85" s="237"/>
      <c r="J85" s="237"/>
      <c r="K85" s="237"/>
      <c r="L85" s="237"/>
      <c r="M85" s="237"/>
    </row>
    <row r="86" spans="2:13" ht="30" customHeight="1" x14ac:dyDescent="0.35">
      <c r="B86" s="412" t="str">
        <f>Calculations!B66</f>
        <v>Total Assets #</v>
      </c>
      <c r="C86" s="412"/>
      <c r="D86" s="246">
        <f ca="1">IF($B86="","",Calculations!G66)</f>
        <v>0</v>
      </c>
      <c r="E86" s="410">
        <f ca="1">IF($B86="","",Calculations!F66)</f>
        <v>0</v>
      </c>
      <c r="F86" s="410"/>
      <c r="G86" s="410"/>
      <c r="H86" s="259">
        <f t="shared" ca="1" si="0"/>
        <v>0</v>
      </c>
      <c r="I86" s="263"/>
      <c r="J86" s="402"/>
      <c r="K86" s="402"/>
      <c r="L86" s="402"/>
      <c r="M86" s="402"/>
    </row>
    <row r="87" spans="2:13" ht="30" customHeight="1" x14ac:dyDescent="0.35">
      <c r="B87" s="412" t="str">
        <f>Calculations!B67</f>
        <v>% of Total Assets</v>
      </c>
      <c r="C87" s="412"/>
      <c r="D87" s="240">
        <f ca="1">IF($B87="","",Calculations!G67)</f>
        <v>0</v>
      </c>
      <c r="E87" s="409">
        <f ca="1">IF($B87="","",Calculations!F67)</f>
        <v>0</v>
      </c>
      <c r="F87" s="409"/>
      <c r="G87" s="409"/>
      <c r="H87" s="264">
        <f ca="1">IFERROR(D87-E87,"")*100</f>
        <v>0</v>
      </c>
      <c r="I87" s="263" t="s">
        <v>335</v>
      </c>
      <c r="J87" s="402"/>
      <c r="K87" s="402"/>
      <c r="L87" s="402"/>
      <c r="M87" s="402"/>
    </row>
    <row r="88" spans="2:13" ht="30" hidden="1" customHeight="1" x14ac:dyDescent="0.35">
      <c r="B88" s="412" t="str">
        <f>Calculations!B68</f>
        <v>Travel &amp; Expense Spend</v>
      </c>
      <c r="C88" s="412"/>
      <c r="D88" s="246">
        <f ca="1">IF($B88="","",Calculations!G68)</f>
        <v>241.6509699999998</v>
      </c>
      <c r="E88" s="410">
        <f ca="1">IF($B88="","",Calculations!F68)</f>
        <v>905.22874000000115</v>
      </c>
      <c r="F88" s="410"/>
      <c r="G88" s="410"/>
      <c r="H88" s="252">
        <f t="shared" ca="1" si="0"/>
        <v>-663.57777000000135</v>
      </c>
      <c r="J88" s="402"/>
      <c r="K88" s="402"/>
      <c r="L88" s="402"/>
      <c r="M88" s="402"/>
    </row>
    <row r="89" spans="2:13" ht="30" hidden="1" customHeight="1" x14ac:dyDescent="0.35">
      <c r="B89" s="412" t="str">
        <f>Calculations!B69</f>
        <v>Travel Spend</v>
      </c>
      <c r="C89" s="412"/>
      <c r="D89" s="240">
        <f ca="1">IF($B89="","",Calculations!G69)</f>
        <v>19.364020000000011</v>
      </c>
      <c r="E89" s="409">
        <f ca="1">IF($B89="","",Calculations!F69)</f>
        <v>532.02860000000078</v>
      </c>
      <c r="F89" s="409"/>
      <c r="G89" s="409"/>
      <c r="H89" s="241">
        <f t="shared" ca="1" si="0"/>
        <v>-512.6645800000008</v>
      </c>
      <c r="J89" s="402"/>
      <c r="K89" s="402"/>
      <c r="L89" s="402"/>
      <c r="M89" s="402"/>
    </row>
    <row r="90" spans="2:13" ht="30" hidden="1" customHeight="1" x14ac:dyDescent="0.35">
      <c r="B90" s="412" t="str">
        <f>Calculations!B70</f>
        <v>Other Spend</v>
      </c>
      <c r="C90" s="412"/>
      <c r="D90" s="246">
        <f ca="1">IF($B90="","",Calculations!G70)</f>
        <v>222.28694999999979</v>
      </c>
      <c r="E90" s="410">
        <f ca="1">IF($B90="","",Calculations!F70)</f>
        <v>373.20014000000037</v>
      </c>
      <c r="F90" s="410"/>
      <c r="G90" s="410"/>
      <c r="H90" s="248">
        <f t="shared" ca="1" si="0"/>
        <v>-150.91319000000058</v>
      </c>
      <c r="J90" s="402"/>
      <c r="K90" s="402"/>
      <c r="L90" s="402"/>
      <c r="M90" s="402"/>
    </row>
    <row r="91" spans="2:13" ht="30" hidden="1" customHeight="1" x14ac:dyDescent="0.35">
      <c r="B91" s="400" t="str">
        <f>Calculations!B72</f>
        <v>METRIC 49</v>
      </c>
      <c r="C91" s="400"/>
      <c r="D91" s="245">
        <f ca="1">IF($B91="","",Calculations!G72)</f>
        <v>0</v>
      </c>
      <c r="E91" s="408">
        <f ca="1">IF($B91="","",Calculations!F72)</f>
        <v>0</v>
      </c>
      <c r="F91" s="408"/>
      <c r="G91" s="408"/>
      <c r="H91" s="253">
        <f t="shared" ca="1" si="0"/>
        <v>0</v>
      </c>
      <c r="J91" s="402"/>
      <c r="K91" s="402"/>
      <c r="L91" s="402"/>
      <c r="M91" s="402"/>
    </row>
    <row r="92" spans="2:13" ht="30" hidden="1" customHeight="1" x14ac:dyDescent="0.35">
      <c r="B92" s="400" t="str">
        <f>Calculations!B73</f>
        <v>METRIC 50</v>
      </c>
      <c r="C92" s="400"/>
      <c r="D92" s="245">
        <f ca="1">IF($B92="","",Calculations!G73)</f>
        <v>0</v>
      </c>
      <c r="E92" s="408">
        <f ca="1">IF($B92="","",Calculations!F73)</f>
        <v>0</v>
      </c>
      <c r="F92" s="408"/>
      <c r="G92" s="408"/>
      <c r="H92" s="239">
        <f t="shared" ca="1" si="0"/>
        <v>0</v>
      </c>
      <c r="J92" s="402"/>
      <c r="K92" s="402"/>
      <c r="L92" s="402"/>
      <c r="M92" s="402"/>
    </row>
    <row r="93" spans="2:13" ht="11.25" hidden="1" customHeight="1" x14ac:dyDescent="0.35">
      <c r="B93" s="237"/>
      <c r="C93" s="237"/>
      <c r="D93" s="237"/>
      <c r="E93" s="237"/>
      <c r="F93" s="237"/>
      <c r="G93" s="237"/>
      <c r="H93" s="237"/>
      <c r="J93" s="237"/>
      <c r="K93" s="237"/>
      <c r="L93" s="237"/>
      <c r="M93" s="237"/>
    </row>
    <row r="94" spans="2:13" ht="15" hidden="1" customHeight="1" x14ac:dyDescent="0.35">
      <c r="B94" s="266" t="s">
        <v>337</v>
      </c>
      <c r="C94" s="237"/>
      <c r="D94" s="237"/>
      <c r="E94" s="237"/>
      <c r="F94" s="237"/>
      <c r="G94" s="237"/>
      <c r="H94" s="237"/>
      <c r="J94" s="237"/>
      <c r="K94" s="237"/>
      <c r="L94" s="237"/>
      <c r="M94" s="237"/>
    </row>
    <row r="95" spans="2:13" ht="15" hidden="1" customHeight="1" x14ac:dyDescent="0.35">
      <c r="B95" s="267" t="s">
        <v>340</v>
      </c>
      <c r="C95" s="237"/>
      <c r="D95" s="237"/>
      <c r="E95" s="237"/>
      <c r="F95" s="237"/>
      <c r="G95" s="237"/>
      <c r="H95" s="237"/>
      <c r="J95" s="237"/>
      <c r="K95" s="237"/>
      <c r="L95" s="237"/>
      <c r="M95" s="237"/>
    </row>
    <row r="96" spans="2:13" ht="15" hidden="1" customHeight="1" x14ac:dyDescent="0.35">
      <c r="B96" s="267" t="s">
        <v>338</v>
      </c>
      <c r="C96" s="237"/>
      <c r="D96" s="237"/>
      <c r="E96" s="237"/>
      <c r="F96" s="237"/>
      <c r="G96" s="237"/>
      <c r="H96" s="237"/>
      <c r="J96" s="237"/>
      <c r="K96" s="237"/>
      <c r="L96" s="237"/>
      <c r="M96" s="237"/>
    </row>
    <row r="97" spans="2:13" ht="15" customHeight="1" x14ac:dyDescent="0.35">
      <c r="B97" s="267"/>
      <c r="C97" s="237"/>
      <c r="D97" s="237"/>
      <c r="E97" s="237"/>
      <c r="F97" s="237"/>
      <c r="G97" s="237"/>
      <c r="H97" s="237"/>
      <c r="J97" s="237"/>
      <c r="K97" s="237"/>
      <c r="L97" s="237"/>
      <c r="M97" s="237"/>
    </row>
    <row r="98" spans="2:13" ht="15" customHeight="1" x14ac:dyDescent="0.35">
      <c r="B98" s="267"/>
      <c r="C98" s="237"/>
      <c r="D98" s="237"/>
      <c r="E98" s="237"/>
      <c r="F98" s="237"/>
      <c r="G98" s="237"/>
      <c r="H98" s="237"/>
      <c r="J98" s="237"/>
      <c r="K98" s="237"/>
      <c r="L98" s="237"/>
      <c r="M98" s="237"/>
    </row>
    <row r="99" spans="2:13" ht="15" customHeight="1" x14ac:dyDescent="0.35">
      <c r="B99" s="267"/>
      <c r="C99" s="237"/>
      <c r="D99" s="237"/>
      <c r="E99" s="237"/>
      <c r="F99" s="237"/>
      <c r="G99" s="237"/>
      <c r="H99" s="237"/>
      <c r="J99" s="237"/>
      <c r="K99" s="237"/>
      <c r="L99" s="237"/>
      <c r="M99" s="237"/>
    </row>
    <row r="100" spans="2:13" ht="15" customHeight="1" x14ac:dyDescent="0.35">
      <c r="B100" s="267"/>
      <c r="C100" s="237"/>
      <c r="D100" s="237"/>
      <c r="E100" s="237"/>
      <c r="F100" s="237"/>
      <c r="G100" s="237"/>
      <c r="H100" s="237"/>
      <c r="J100" s="237"/>
      <c r="K100" s="237"/>
      <c r="L100" s="237"/>
      <c r="M100" s="237"/>
    </row>
    <row r="101" spans="2:13" ht="15" customHeight="1" x14ac:dyDescent="0.35">
      <c r="B101" s="267"/>
      <c r="C101" s="237"/>
      <c r="D101" s="237"/>
      <c r="E101" s="237"/>
      <c r="F101" s="237"/>
      <c r="G101" s="237"/>
      <c r="H101" s="237"/>
      <c r="J101" s="237"/>
      <c r="K101" s="237"/>
      <c r="L101" s="237"/>
      <c r="M101" s="237"/>
    </row>
    <row r="102" spans="2:13" ht="15" customHeight="1" x14ac:dyDescent="0.35">
      <c r="B102" s="267"/>
      <c r="C102" s="237"/>
      <c r="D102" s="237"/>
      <c r="E102" s="237"/>
      <c r="F102" s="237"/>
      <c r="G102" s="237"/>
      <c r="H102" s="237"/>
      <c r="J102" s="237"/>
      <c r="K102" s="237"/>
      <c r="L102" s="237"/>
      <c r="M102" s="237"/>
    </row>
    <row r="103" spans="2:13" ht="15" customHeight="1" x14ac:dyDescent="0.35">
      <c r="B103" s="267"/>
      <c r="C103" s="237"/>
      <c r="D103" s="237"/>
      <c r="E103" s="237"/>
      <c r="F103" s="237"/>
      <c r="G103" s="237"/>
      <c r="H103" s="237"/>
      <c r="J103" s="237"/>
      <c r="K103" s="237"/>
      <c r="L103" s="237"/>
      <c r="M103" s="237"/>
    </row>
    <row r="104" spans="2:13" ht="15" customHeight="1" x14ac:dyDescent="0.35">
      <c r="B104" s="267"/>
      <c r="C104" s="237"/>
      <c r="D104" s="237"/>
      <c r="E104" s="237"/>
      <c r="F104" s="237"/>
      <c r="G104" s="237"/>
      <c r="H104" s="237"/>
      <c r="J104" s="237"/>
      <c r="K104" s="237"/>
      <c r="L104" s="237"/>
      <c r="M104" s="237"/>
    </row>
    <row r="105" spans="2:13" ht="15" customHeight="1" x14ac:dyDescent="0.35">
      <c r="B105" s="267"/>
      <c r="C105" s="237"/>
      <c r="D105" s="237"/>
      <c r="E105" s="237"/>
      <c r="F105" s="237"/>
      <c r="G105" s="237"/>
      <c r="H105" s="237"/>
      <c r="J105" s="237"/>
      <c r="K105" s="237"/>
      <c r="L105" s="237"/>
      <c r="M105" s="237"/>
    </row>
    <row r="106" spans="2:13" ht="15" customHeight="1" x14ac:dyDescent="0.35">
      <c r="B106" s="265"/>
      <c r="C106" s="237"/>
      <c r="D106" s="237"/>
      <c r="E106" s="237"/>
      <c r="F106" s="237"/>
      <c r="G106" s="237"/>
      <c r="H106" s="237"/>
      <c r="J106" s="237"/>
      <c r="K106" s="237"/>
      <c r="L106" s="237"/>
      <c r="M106" s="237"/>
    </row>
    <row r="107" spans="2:13" ht="15" customHeight="1" x14ac:dyDescent="0.35">
      <c r="B107" s="265"/>
      <c r="C107" s="237"/>
      <c r="D107" s="237"/>
      <c r="E107" s="237"/>
      <c r="F107" s="237"/>
      <c r="G107" s="237"/>
      <c r="H107" s="237"/>
      <c r="J107" s="237"/>
      <c r="K107" s="237"/>
      <c r="L107" s="237"/>
      <c r="M107" s="237"/>
    </row>
    <row r="108" spans="2:13" ht="15" customHeight="1" x14ac:dyDescent="0.35">
      <c r="B108" s="265"/>
      <c r="C108" s="237"/>
      <c r="D108" s="237"/>
      <c r="E108" s="237"/>
      <c r="F108" s="237"/>
      <c r="G108" s="237"/>
      <c r="H108" s="237"/>
      <c r="J108" s="237"/>
      <c r="K108" s="237"/>
      <c r="L108" s="237"/>
      <c r="M108" s="237"/>
    </row>
    <row r="109" spans="2:13" ht="15" customHeight="1" x14ac:dyDescent="0.35">
      <c r="B109" s="265"/>
      <c r="C109" s="237"/>
      <c r="D109" s="237"/>
      <c r="E109" s="237"/>
      <c r="F109" s="237"/>
      <c r="G109" s="237"/>
      <c r="H109" s="237"/>
      <c r="J109" s="237"/>
      <c r="K109" s="237"/>
      <c r="L109" s="237"/>
      <c r="M109" s="237"/>
    </row>
    <row r="110" spans="2:13" ht="15" customHeight="1" x14ac:dyDescent="0.35">
      <c r="B110" s="265"/>
      <c r="C110" s="237"/>
      <c r="D110" s="237"/>
      <c r="E110" s="237"/>
      <c r="F110" s="237"/>
      <c r="G110" s="237"/>
      <c r="H110" s="237"/>
      <c r="J110" s="237"/>
      <c r="K110" s="237"/>
      <c r="L110" s="237"/>
      <c r="M110" s="237"/>
    </row>
    <row r="111" spans="2:13" ht="15" customHeight="1" x14ac:dyDescent="0.35">
      <c r="B111" s="265"/>
      <c r="C111" s="237"/>
      <c r="D111" s="237"/>
      <c r="E111" s="237"/>
      <c r="F111" s="237"/>
      <c r="G111" s="237"/>
      <c r="H111" s="237"/>
      <c r="J111" s="237"/>
      <c r="K111" s="237"/>
      <c r="L111" s="237"/>
      <c r="M111" s="237"/>
    </row>
    <row r="112" spans="2:13" ht="15" customHeight="1" x14ac:dyDescent="0.35">
      <c r="B112" s="265"/>
      <c r="C112" s="237"/>
      <c r="D112" s="237"/>
      <c r="E112" s="237"/>
      <c r="F112" s="237"/>
      <c r="G112" s="237"/>
      <c r="H112" s="237"/>
      <c r="J112" s="237"/>
      <c r="K112" s="237"/>
      <c r="L112" s="237"/>
      <c r="M112" s="237"/>
    </row>
    <row r="113" spans="2:13" ht="15" customHeight="1" x14ac:dyDescent="0.35">
      <c r="B113" s="265"/>
      <c r="C113" s="237"/>
      <c r="D113" s="237"/>
      <c r="E113" s="237"/>
      <c r="F113" s="237"/>
      <c r="G113" s="237"/>
      <c r="H113" s="237"/>
      <c r="J113" s="237"/>
      <c r="K113" s="237"/>
      <c r="L113" s="237"/>
      <c r="M113" s="237"/>
    </row>
    <row r="114" spans="2:13" ht="15" customHeight="1" x14ac:dyDescent="0.35">
      <c r="B114" s="265"/>
      <c r="C114" s="237"/>
      <c r="D114" s="237"/>
      <c r="E114" s="237"/>
      <c r="F114" s="237"/>
      <c r="G114" s="237"/>
      <c r="H114" s="237"/>
      <c r="J114" s="237"/>
      <c r="K114" s="237"/>
      <c r="L114" s="237"/>
      <c r="M114" s="237"/>
    </row>
  </sheetData>
  <sheetProtection selectLockedCells="1"/>
  <dataConsolidate/>
  <mergeCells count="216">
    <mergeCell ref="D13:E13"/>
    <mergeCell ref="F13:G13"/>
    <mergeCell ref="H13:I13"/>
    <mergeCell ref="J13:K13"/>
    <mergeCell ref="L13:M13"/>
    <mergeCell ref="B87:C87"/>
    <mergeCell ref="E87:G87"/>
    <mergeCell ref="J87:M87"/>
    <mergeCell ref="B88:C88"/>
    <mergeCell ref="E88:G88"/>
    <mergeCell ref="J88:M88"/>
    <mergeCell ref="B84:C84"/>
    <mergeCell ref="E84:G84"/>
    <mergeCell ref="J84:M84"/>
    <mergeCell ref="B86:C86"/>
    <mergeCell ref="E86:G86"/>
    <mergeCell ref="J86:M86"/>
    <mergeCell ref="B82:C82"/>
    <mergeCell ref="E82:G82"/>
    <mergeCell ref="J82:M82"/>
    <mergeCell ref="B83:C83"/>
    <mergeCell ref="E83:G83"/>
    <mergeCell ref="J83:M83"/>
    <mergeCell ref="B78:C78"/>
    <mergeCell ref="B91:C91"/>
    <mergeCell ref="E91:G91"/>
    <mergeCell ref="J91:M91"/>
    <mergeCell ref="B92:C92"/>
    <mergeCell ref="E92:G92"/>
    <mergeCell ref="J92:M92"/>
    <mergeCell ref="B89:C89"/>
    <mergeCell ref="E89:G89"/>
    <mergeCell ref="J89:M89"/>
    <mergeCell ref="B90:C90"/>
    <mergeCell ref="E90:G90"/>
    <mergeCell ref="J90:M90"/>
    <mergeCell ref="E78:G78"/>
    <mergeCell ref="J78:M78"/>
    <mergeCell ref="B81:C81"/>
    <mergeCell ref="E81:G81"/>
    <mergeCell ref="J81:M81"/>
    <mergeCell ref="B79:M79"/>
    <mergeCell ref="B76:C76"/>
    <mergeCell ref="E76:G76"/>
    <mergeCell ref="J76:M76"/>
    <mergeCell ref="B77:C77"/>
    <mergeCell ref="E77:G77"/>
    <mergeCell ref="J77:M77"/>
    <mergeCell ref="B74:C74"/>
    <mergeCell ref="E74:G74"/>
    <mergeCell ref="J74:M74"/>
    <mergeCell ref="B75:C75"/>
    <mergeCell ref="E75:G75"/>
    <mergeCell ref="J75:M75"/>
    <mergeCell ref="B72:C72"/>
    <mergeCell ref="E72:G72"/>
    <mergeCell ref="J72:M72"/>
    <mergeCell ref="B73:C73"/>
    <mergeCell ref="E73:G73"/>
    <mergeCell ref="J73:M73"/>
    <mergeCell ref="B68:C68"/>
    <mergeCell ref="E68:G68"/>
    <mergeCell ref="J68:M68"/>
    <mergeCell ref="B69:C69"/>
    <mergeCell ref="E69:G69"/>
    <mergeCell ref="J69:M69"/>
    <mergeCell ref="B70:M70"/>
    <mergeCell ref="B64:C64"/>
    <mergeCell ref="E64:G64"/>
    <mergeCell ref="J64:M64"/>
    <mergeCell ref="B67:C67"/>
    <mergeCell ref="E67:G67"/>
    <mergeCell ref="J67:M67"/>
    <mergeCell ref="B62:C62"/>
    <mergeCell ref="E62:G62"/>
    <mergeCell ref="J62:M62"/>
    <mergeCell ref="B63:C63"/>
    <mergeCell ref="E63:G63"/>
    <mergeCell ref="J63:M63"/>
    <mergeCell ref="B65:M65"/>
    <mergeCell ref="B50:C50"/>
    <mergeCell ref="E50:G50"/>
    <mergeCell ref="J50:M50"/>
    <mergeCell ref="B51:C51"/>
    <mergeCell ref="E51:G51"/>
    <mergeCell ref="J51:M51"/>
    <mergeCell ref="B61:C61"/>
    <mergeCell ref="E61:G61"/>
    <mergeCell ref="J61:M61"/>
    <mergeCell ref="B59:C59"/>
    <mergeCell ref="E59:G59"/>
    <mergeCell ref="J59:M59"/>
    <mergeCell ref="B58:C58"/>
    <mergeCell ref="E58:G58"/>
    <mergeCell ref="J58:M58"/>
    <mergeCell ref="B39:C39"/>
    <mergeCell ref="E39:G39"/>
    <mergeCell ref="J39:M39"/>
    <mergeCell ref="E44:G44"/>
    <mergeCell ref="J44:M44"/>
    <mergeCell ref="B45:C45"/>
    <mergeCell ref="E45:G45"/>
    <mergeCell ref="J45:M45"/>
    <mergeCell ref="B43:C43"/>
    <mergeCell ref="E43:G43"/>
    <mergeCell ref="J43:M43"/>
    <mergeCell ref="B44:C44"/>
    <mergeCell ref="B40:C40"/>
    <mergeCell ref="E40:G40"/>
    <mergeCell ref="J40:M40"/>
    <mergeCell ref="B42:C42"/>
    <mergeCell ref="E42:G42"/>
    <mergeCell ref="J42:M42"/>
    <mergeCell ref="B36:C36"/>
    <mergeCell ref="E36:G36"/>
    <mergeCell ref="J36:M36"/>
    <mergeCell ref="B37:C37"/>
    <mergeCell ref="E37:G37"/>
    <mergeCell ref="J37:M37"/>
    <mergeCell ref="B38:C38"/>
    <mergeCell ref="E38:G38"/>
    <mergeCell ref="J38:M38"/>
    <mergeCell ref="E48:G48"/>
    <mergeCell ref="J48:M48"/>
    <mergeCell ref="B49:C49"/>
    <mergeCell ref="E49:G49"/>
    <mergeCell ref="J49:M49"/>
    <mergeCell ref="B46:C46"/>
    <mergeCell ref="E46:G46"/>
    <mergeCell ref="J46:M46"/>
    <mergeCell ref="B47:C47"/>
    <mergeCell ref="E47:G47"/>
    <mergeCell ref="J47:M47"/>
    <mergeCell ref="B18:C18"/>
    <mergeCell ref="E18:G18"/>
    <mergeCell ref="J18:M18"/>
    <mergeCell ref="B24:C24"/>
    <mergeCell ref="E24:G24"/>
    <mergeCell ref="J24:M24"/>
    <mergeCell ref="B25:C25"/>
    <mergeCell ref="E25:G25"/>
    <mergeCell ref="J25:M25"/>
    <mergeCell ref="B20:C20"/>
    <mergeCell ref="E20:G20"/>
    <mergeCell ref="J20:M20"/>
    <mergeCell ref="B22:C22"/>
    <mergeCell ref="E22:G22"/>
    <mergeCell ref="J22:M22"/>
    <mergeCell ref="E28:G28"/>
    <mergeCell ref="J28:M28"/>
    <mergeCell ref="B30:C30"/>
    <mergeCell ref="E30:G30"/>
    <mergeCell ref="J30:M30"/>
    <mergeCell ref="B57:C57"/>
    <mergeCell ref="E57:G57"/>
    <mergeCell ref="J57:M57"/>
    <mergeCell ref="B55:C55"/>
    <mergeCell ref="E55:G55"/>
    <mergeCell ref="J55:M55"/>
    <mergeCell ref="B56:C56"/>
    <mergeCell ref="E56:G56"/>
    <mergeCell ref="J56:M56"/>
    <mergeCell ref="B31:C31"/>
    <mergeCell ref="E31:G31"/>
    <mergeCell ref="J31:M31"/>
    <mergeCell ref="B32:C32"/>
    <mergeCell ref="E32:G32"/>
    <mergeCell ref="J32:M32"/>
    <mergeCell ref="B35:C35"/>
    <mergeCell ref="E35:G35"/>
    <mergeCell ref="J35:M35"/>
    <mergeCell ref="B48:C48"/>
    <mergeCell ref="B14:M14"/>
    <mergeCell ref="B15:C15"/>
    <mergeCell ref="E15:G15"/>
    <mergeCell ref="J15:M15"/>
    <mergeCell ref="B54:C54"/>
    <mergeCell ref="E54:G54"/>
    <mergeCell ref="J54:M54"/>
    <mergeCell ref="B13:C13"/>
    <mergeCell ref="B16:M16"/>
    <mergeCell ref="B33:M33"/>
    <mergeCell ref="B52:M52"/>
    <mergeCell ref="B19:C19"/>
    <mergeCell ref="E19:G19"/>
    <mergeCell ref="J19:M19"/>
    <mergeCell ref="B21:C21"/>
    <mergeCell ref="E21:G21"/>
    <mergeCell ref="J21:M21"/>
    <mergeCell ref="B27:C27"/>
    <mergeCell ref="E27:G27"/>
    <mergeCell ref="J27:M27"/>
    <mergeCell ref="B26:C26"/>
    <mergeCell ref="E26:G26"/>
    <mergeCell ref="J26:M26"/>
    <mergeCell ref="B28:C28"/>
    <mergeCell ref="K11:M11"/>
    <mergeCell ref="L2:M2"/>
    <mergeCell ref="B3:M4"/>
    <mergeCell ref="B5:C5"/>
    <mergeCell ref="K6:M6"/>
    <mergeCell ref="K7:M7"/>
    <mergeCell ref="K8:M8"/>
    <mergeCell ref="K9:M9"/>
    <mergeCell ref="K10:M10"/>
    <mergeCell ref="J2:K2"/>
    <mergeCell ref="H7:I7"/>
    <mergeCell ref="H8:I8"/>
    <mergeCell ref="H9:I9"/>
    <mergeCell ref="H10:I10"/>
    <mergeCell ref="H11:I11"/>
    <mergeCell ref="D5:E5"/>
    <mergeCell ref="F5:G5"/>
    <mergeCell ref="H5:I5"/>
    <mergeCell ref="J5:K5"/>
    <mergeCell ref="L5:M5"/>
  </mergeCells>
  <conditionalFormatting sqref="H35">
    <cfRule type="iconSet" priority="196">
      <iconSet iconSet="3Arrows">
        <cfvo type="percent" val="0"/>
        <cfvo type="num" val="0"/>
        <cfvo type="num" val="0" gte="0"/>
      </iconSet>
    </cfRule>
  </conditionalFormatting>
  <conditionalFormatting sqref="H42:H43">
    <cfRule type="iconSet" priority="187">
      <iconSet iconSet="3Arrows">
        <cfvo type="percent" val="0"/>
        <cfvo type="num" val="0"/>
        <cfvo type="num" val="0" gte="0"/>
      </iconSet>
    </cfRule>
  </conditionalFormatting>
  <conditionalFormatting sqref="H47">
    <cfRule type="iconSet" priority="164">
      <iconSet iconSet="3Arrows">
        <cfvo type="percent" val="0"/>
        <cfvo type="num" val="0"/>
        <cfvo type="num" val="0" gte="0"/>
      </iconSet>
    </cfRule>
  </conditionalFormatting>
  <conditionalFormatting sqref="H49">
    <cfRule type="iconSet" priority="161">
      <iconSet iconSet="3Arrows">
        <cfvo type="percent" val="0"/>
        <cfvo type="num" val="0"/>
        <cfvo type="num" val="0" gte="0"/>
      </iconSet>
    </cfRule>
  </conditionalFormatting>
  <conditionalFormatting sqref="H50">
    <cfRule type="iconSet" priority="158">
      <iconSet iconSet="3Arrows">
        <cfvo type="percent" val="0"/>
        <cfvo type="num" val="0"/>
        <cfvo type="num" val="0" gte="0"/>
      </iconSet>
    </cfRule>
  </conditionalFormatting>
  <conditionalFormatting sqref="H45">
    <cfRule type="iconSet" priority="152">
      <iconSet iconSet="3Arrows">
        <cfvo type="percent" val="0"/>
        <cfvo type="num" val="0"/>
        <cfvo type="num" val="0" gte="0"/>
      </iconSet>
    </cfRule>
  </conditionalFormatting>
  <conditionalFormatting sqref="H84">
    <cfRule type="iconSet" priority="129">
      <iconSet iconSet="3Arrows">
        <cfvo type="percent" val="0"/>
        <cfvo type="num" val="0"/>
        <cfvo type="num" val="0" gte="0"/>
      </iconSet>
    </cfRule>
  </conditionalFormatting>
  <conditionalFormatting sqref="H88">
    <cfRule type="iconSet" priority="116">
      <iconSet iconSet="3Arrows">
        <cfvo type="percent" val="0"/>
        <cfvo type="num" val="0"/>
        <cfvo type="num" val="0" gte="0"/>
      </iconSet>
    </cfRule>
  </conditionalFormatting>
  <conditionalFormatting sqref="H89">
    <cfRule type="iconSet" priority="109">
      <iconSet iconSet="3Arrows">
        <cfvo type="percent" val="0"/>
        <cfvo type="num" val="0"/>
        <cfvo type="num" val="0" gte="0"/>
      </iconSet>
    </cfRule>
  </conditionalFormatting>
  <conditionalFormatting sqref="H90">
    <cfRule type="iconSet" priority="105">
      <iconSet iconSet="3Arrows">
        <cfvo type="percent" val="0"/>
        <cfvo type="num" val="0"/>
        <cfvo type="num" val="0" gte="0"/>
      </iconSet>
    </cfRule>
  </conditionalFormatting>
  <conditionalFormatting sqref="H54">
    <cfRule type="iconSet" priority="95">
      <iconSet iconSet="3Arrows">
        <cfvo type="percent" val="0"/>
        <cfvo type="num" val="0"/>
        <cfvo type="num" val="0" gte="0"/>
      </iconSet>
    </cfRule>
  </conditionalFormatting>
  <conditionalFormatting sqref="H77">
    <cfRule type="iconSet" priority="85">
      <iconSet iconSet="3Arrows">
        <cfvo type="percent" val="0"/>
        <cfvo type="num" val="0"/>
        <cfvo type="num" val="0" gte="0"/>
      </iconSet>
    </cfRule>
  </conditionalFormatting>
  <conditionalFormatting sqref="H32">
    <cfRule type="iconSet" priority="64">
      <iconSet iconSet="3Arrows">
        <cfvo type="percent" val="0"/>
        <cfvo type="num" val="0"/>
        <cfvo type="num" val="0" gte="0"/>
      </iconSet>
    </cfRule>
  </conditionalFormatting>
  <conditionalFormatting sqref="H36">
    <cfRule type="iconSet" priority="48">
      <iconSet iconSet="3Arrows">
        <cfvo type="percent" val="0"/>
        <cfvo type="num" val="0"/>
        <cfvo type="num" val="0" gte="0"/>
      </iconSet>
    </cfRule>
  </conditionalFormatting>
  <conditionalFormatting sqref="H38:H39">
    <cfRule type="iconSet" priority="44">
      <iconSet iconSet="3Arrows">
        <cfvo type="percent" val="0"/>
        <cfvo type="num" val="0"/>
        <cfvo type="num" val="0" gte="0"/>
      </iconSet>
    </cfRule>
  </conditionalFormatting>
  <conditionalFormatting sqref="H62">
    <cfRule type="iconSet" priority="42">
      <iconSet iconSet="3Arrows">
        <cfvo type="percent" val="0"/>
        <cfvo type="num" val="0"/>
        <cfvo type="num" val="0" gte="0"/>
      </iconSet>
    </cfRule>
  </conditionalFormatting>
  <conditionalFormatting sqref="H63">
    <cfRule type="iconSet" priority="40">
      <iconSet iconSet="3Arrows">
        <cfvo type="percent" val="0"/>
        <cfvo type="num" val="0"/>
        <cfvo type="num" val="0" gte="0"/>
      </iconSet>
    </cfRule>
  </conditionalFormatting>
  <conditionalFormatting sqref="H68">
    <cfRule type="iconSet" priority="34">
      <iconSet iconSet="3Arrows">
        <cfvo type="percent" val="0"/>
        <cfvo type="num" val="0"/>
        <cfvo type="num" val="0" gte="0"/>
      </iconSet>
    </cfRule>
  </conditionalFormatting>
  <conditionalFormatting sqref="H81">
    <cfRule type="iconSet" priority="32">
      <iconSet iconSet="3Arrows">
        <cfvo type="percent" val="0"/>
        <cfvo type="num" val="0"/>
        <cfvo type="num" val="0" gte="0"/>
      </iconSet>
    </cfRule>
  </conditionalFormatting>
  <conditionalFormatting sqref="H82">
    <cfRule type="iconSet" priority="30">
      <iconSet iconSet="3Arrows">
        <cfvo type="percent" val="0"/>
        <cfvo type="num" val="0"/>
        <cfvo type="num" val="0" gte="0"/>
      </iconSet>
    </cfRule>
  </conditionalFormatting>
  <conditionalFormatting sqref="H83">
    <cfRule type="iconSet" priority="28">
      <iconSet iconSet="3Arrows">
        <cfvo type="percent" val="0"/>
        <cfvo type="num" val="0"/>
        <cfvo type="num" val="0" gte="0"/>
      </iconSet>
    </cfRule>
  </conditionalFormatting>
  <conditionalFormatting sqref="H86">
    <cfRule type="iconSet" priority="26">
      <iconSet iconSet="3Arrows">
        <cfvo type="percent" val="0"/>
        <cfvo type="num" val="0"/>
        <cfvo type="num" val="0" gte="0"/>
      </iconSet>
    </cfRule>
  </conditionalFormatting>
  <conditionalFormatting sqref="H87">
    <cfRule type="iconSet" priority="24">
      <iconSet iconSet="3Arrows">
        <cfvo type="percent" val="0"/>
        <cfvo type="num" val="0"/>
        <cfvo type="num" val="0" gte="0"/>
      </iconSet>
    </cfRule>
  </conditionalFormatting>
  <conditionalFormatting sqref="H74">
    <cfRule type="iconSet" priority="22">
      <iconSet iconSet="3Arrows">
        <cfvo type="percent" val="0"/>
        <cfvo type="num" val="0"/>
        <cfvo type="num" val="0" gte="0"/>
      </iconSet>
    </cfRule>
  </conditionalFormatting>
  <conditionalFormatting sqref="H76">
    <cfRule type="iconSet" priority="20">
      <iconSet iconSet="3Arrows">
        <cfvo type="percent" val="0"/>
        <cfvo type="num" val="0"/>
        <cfvo type="num" val="0" gte="0"/>
      </iconSet>
    </cfRule>
  </conditionalFormatting>
  <conditionalFormatting sqref="H26">
    <cfRule type="iconSet" priority="18">
      <iconSet iconSet="3Arrows">
        <cfvo type="percent" val="0"/>
        <cfvo type="num" val="0"/>
        <cfvo type="num" val="0" gte="0"/>
      </iconSet>
    </cfRule>
  </conditionalFormatting>
  <conditionalFormatting sqref="H28">
    <cfRule type="iconSet" priority="16">
      <iconSet iconSet="3Arrows">
        <cfvo type="percent" val="0"/>
        <cfvo type="num" val="0"/>
        <cfvo type="num" val="0" gte="0"/>
      </iconSet>
    </cfRule>
  </conditionalFormatting>
  <conditionalFormatting sqref="H40">
    <cfRule type="iconSet" priority="14">
      <iconSet iconSet="3Arrows">
        <cfvo type="percent" val="0"/>
        <cfvo type="num" val="0"/>
        <cfvo type="num" val="0" gte="0"/>
      </iconSet>
    </cfRule>
  </conditionalFormatting>
  <conditionalFormatting sqref="H44">
    <cfRule type="iconSet" priority="12">
      <iconSet iconSet="3Arrows">
        <cfvo type="percent" val="0"/>
        <cfvo type="num" val="0"/>
        <cfvo type="num" val="0" gte="0"/>
      </iconSet>
    </cfRule>
  </conditionalFormatting>
  <conditionalFormatting sqref="H51">
    <cfRule type="iconSet" priority="10">
      <iconSet iconSet="3Arrows">
        <cfvo type="percent" val="0"/>
        <cfvo type="num" val="0"/>
        <cfvo type="num" val="0" gte="0"/>
      </iconSet>
    </cfRule>
  </conditionalFormatting>
  <conditionalFormatting sqref="H57">
    <cfRule type="iconSet" priority="8">
      <iconSet iconSet="3Arrows">
        <cfvo type="percent" val="0"/>
        <cfvo type="num" val="0"/>
        <cfvo type="num" val="0" gte="0"/>
      </iconSet>
    </cfRule>
  </conditionalFormatting>
  <conditionalFormatting sqref="H59">
    <cfRule type="iconSet" priority="6">
      <iconSet iconSet="3Arrows">
        <cfvo type="percent" val="0"/>
        <cfvo type="num" val="0"/>
        <cfvo type="num" val="0" gte="0"/>
      </iconSet>
    </cfRule>
  </conditionalFormatting>
  <conditionalFormatting sqref="H64">
    <cfRule type="iconSet" priority="4">
      <iconSet iconSet="3Arrows">
        <cfvo type="percent" val="0"/>
        <cfvo type="num" val="0"/>
        <cfvo type="num" val="0" gte="0"/>
      </iconSet>
    </cfRule>
  </conditionalFormatting>
  <conditionalFormatting sqref="H61">
    <cfRule type="iconSet" priority="2">
      <iconSet iconSet="3Arrows">
        <cfvo type="percent" val="0"/>
        <cfvo type="num" val="0"/>
        <cfvo type="num" val="0" gte="0"/>
      </iconSet>
    </cfRule>
  </conditionalFormatting>
  <dataValidations xWindow="144" yWindow="476" count="21">
    <dataValidation allowBlank="1" showInputMessage="1" showErrorMessage="1" prompt="Navigation link to Financial Data Input worksheet" sqref="J13:M13 H13"/>
    <dataValidation allowBlank="1" showErrorMessage="1" prompt="5 Year Trend line is automatically updated in this column under this heading" sqref="J17:M17 J53:M53 J23:M23 J29:M29 J15:M15 J34:M34 J41:M41 J85:M85 J66:M66 J71:M71 J80:M80 J60:M60"/>
    <dataValidation allowBlank="1" showErrorMessage="1" prompt="Percent Change and icon are automatically updated in this column under this heading" sqref="H53 H23 H29 H15 H34 H41 H17 H66 H71 H80 H85 H60"/>
    <dataValidation allowBlank="1" showErrorMessage="1" prompt="Previous Year figures are automatically updated in this column under this heading" sqref="E17 E53 E23 E29 E15 E34 E41 E85 E66 E71 E80 E60"/>
    <dataValidation allowBlank="1" showErrorMessage="1" prompt="Report Year figures are automatically updated in this column under this heading" sqref="D17 D53 D23 D29 D15 D34 D41 D85 D66 D71 D80 D60"/>
    <dataValidation allowBlank="1" showErrorMessage="1" prompt="Metrics are automatically updated in this column under this heading" sqref="B15:B17 B52:B53 B23 B29 B33:B34 B41 B85 B65:B66 B70:B71 B79:B80 B60"/>
    <dataValidation allowBlank="1" showErrorMessage="1" prompt="All Metrics data will automatically be updated in table starting in cell B15" sqref="B13:C13"/>
    <dataValidation allowBlank="1" showErrorMessage="1" prompt="Operating Profit is automatically updated in this cell and growth percent in cell below" sqref="K8:M8"/>
    <dataValidation allowBlank="1" showErrorMessage="1" prompt="Depreciation amount is automatically updated in this cell and growth percent in cell below" sqref="H8"/>
    <dataValidation allowBlank="1" showErrorMessage="1" prompt="Interest is automatically updated in this cell and growth percent in cell below" sqref="F8"/>
    <dataValidation allowBlank="1" showErrorMessage="1" prompt="Net Profit is automatically updated in this cell and growth percent in cell below" sqref="D8"/>
    <dataValidation allowBlank="1" showErrorMessage="1" prompt="Growth percent is automatically updated in this cell and sparkline in cell below" sqref="B9 D9 F9 K9:M9 H9"/>
    <dataValidation allowBlank="1" showErrorMessage="1" prompt="Total Revenue is automatically updated in this cell and growth percent in cell below" sqref="B8"/>
    <dataValidation allowBlank="1" showInputMessage="1" showErrorMessage="1" prompt="Navigation link to Key Metric Settings worksheet" sqref="H5 J5:M5"/>
    <dataValidation allowBlank="1" showErrorMessage="1" prompt="Select cell at right to navigate to Key Metric Settings worksheet" sqref="B5:C5"/>
    <dataValidation allowBlank="1" showErrorMessage="1" prompt="Enter Company Name in this cell" sqref="B3:H4 J3:M4"/>
    <dataValidation allowBlank="1" showErrorMessage="1" prompt="Create Annual Financial Report in this workbook. Select year in cell K2 in this worksheet, D5 to navigate to Key Metric worksheet and D13 to navigate to Financial Data worksheet" sqref="A1"/>
    <dataValidation type="list" errorStyle="warning" allowBlank="1" showInputMessage="1" showErrorMessage="1" error="Select Year from the list. Select CANCEL, press ALT+DOWN ARROW for options, then DOWN ARROW and ENTER to make selection" prompt="Select Year in this cell. Use down arrow and click on year to make selection. " sqref="L2:M2">
      <formula1>lstYears</formula1>
    </dataValidation>
    <dataValidation allowBlank="1" showErrorMessage="1" prompt="Title of this worksheet is in this cell. Enter Company Name in cell below and select report year in cell at right. Tip is in cell N2 and N3" sqref="B2 C1:H1 J1:K1"/>
    <dataValidation allowBlank="1" showErrorMessage="1" prompt="Navigation link to Financial Data Input worksheet" sqref="F13:G13 D13:E13"/>
    <dataValidation allowBlank="1" showErrorMessage="1" prompt="Navigation link to Key Metric Settings worksheet" sqref="F5:G5 D5:E5 N5"/>
  </dataValidations>
  <printOptions horizontalCentered="1"/>
  <pageMargins left="0.25" right="0.25" top="0.25" bottom="0.25" header="0.3" footer="0.05"/>
  <pageSetup paperSize="5" scale="62" fitToHeight="0" orientation="portrait"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iconSet" priority="282" id="{3FD865B3-78DB-4295-8420-F23AE73E79E8}">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H56 H30 H46 H48 H75 H78 H91:H92 H24:H25 H27 H72:H73 H20 H22 H18 H58</xm:sqref>
        </x14:conditionalFormatting>
        <x14:conditionalFormatting xmlns:xm="http://schemas.microsoft.com/office/excel/2006/main">
          <x14:cfRule type="iconSet" priority="280" id="{8C62CF3C-0E57-4E34-A17C-821F111E09B3}">
            <x14:iconSet iconSet="3Arrows" custom="1">
              <x14:cfvo type="percent">
                <xm:f>0</xm:f>
              </x14:cfvo>
              <x14:cfvo type="num">
                <xm:f>0</xm:f>
              </x14:cfvo>
              <x14:cfvo type="num" gte="0">
                <xm:f>0</xm:f>
              </x14:cfvo>
              <x14:cfIcon iconSet="3ArrowsGray" iconId="0"/>
              <x14:cfIcon iconSet="3ArrowsGray" iconId="1"/>
              <x14:cfIcon iconSet="3ArrowsGray" iconId="2"/>
            </x14:iconSet>
          </x14:cfRule>
          <xm:sqref>K9 D9 H9 F9 B9</xm:sqref>
        </x14:conditionalFormatting>
        <x14:conditionalFormatting xmlns:xm="http://schemas.microsoft.com/office/excel/2006/main">
          <x14:cfRule type="iconSet" priority="281" id="{7985D6FD-1DCD-4FE1-86E2-34A1946E36FD}">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H55:H56 H30 H46 H48 H75 H78 H91:H92 H24:H25 H27 H72:H73 H20 H22 H18 H58</xm:sqref>
        </x14:conditionalFormatting>
        <x14:conditionalFormatting xmlns:xm="http://schemas.microsoft.com/office/excel/2006/main">
          <x14:cfRule type="iconSet" priority="195" id="{0D45E1A6-F4FC-4EC5-B781-FAE327350159}">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H35</xm:sqref>
        </x14:conditionalFormatting>
        <x14:conditionalFormatting xmlns:xm="http://schemas.microsoft.com/office/excel/2006/main">
          <x14:cfRule type="iconSet" priority="186" id="{29C41DDB-17ED-41C9-8F43-0C1E4A309BBE}">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H42:H43</xm:sqref>
        </x14:conditionalFormatting>
        <x14:conditionalFormatting xmlns:xm="http://schemas.microsoft.com/office/excel/2006/main">
          <x14:cfRule type="iconSet" priority="163" id="{11FF27EC-4874-43B6-AD14-59445534ECEC}">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H47</xm:sqref>
        </x14:conditionalFormatting>
        <x14:conditionalFormatting xmlns:xm="http://schemas.microsoft.com/office/excel/2006/main">
          <x14:cfRule type="iconSet" priority="160" id="{B85D21DA-257E-4914-9F86-4859E52AC700}">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H49</xm:sqref>
        </x14:conditionalFormatting>
        <x14:conditionalFormatting xmlns:xm="http://schemas.microsoft.com/office/excel/2006/main">
          <x14:cfRule type="iconSet" priority="157" id="{2507BABF-92D2-4D22-A4DE-EDE6C002D3EE}">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H50</xm:sqref>
        </x14:conditionalFormatting>
        <x14:conditionalFormatting xmlns:xm="http://schemas.microsoft.com/office/excel/2006/main">
          <x14:cfRule type="iconSet" priority="151" id="{2802277D-ADBA-457C-A4E2-303264DD0A6F}">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H45</xm:sqref>
        </x14:conditionalFormatting>
        <x14:conditionalFormatting xmlns:xm="http://schemas.microsoft.com/office/excel/2006/main">
          <x14:cfRule type="iconSet" priority="128" id="{392BFCF9-57F7-43A3-ACA6-7D9CFE534621}">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H84</xm:sqref>
        </x14:conditionalFormatting>
        <x14:conditionalFormatting xmlns:xm="http://schemas.microsoft.com/office/excel/2006/main">
          <x14:cfRule type="iconSet" priority="115" id="{F9FB2876-D5B9-45A8-88E6-7A5C6ED24D5B}">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H88</xm:sqref>
        </x14:conditionalFormatting>
        <x14:conditionalFormatting xmlns:xm="http://schemas.microsoft.com/office/excel/2006/main">
          <x14:cfRule type="iconSet" priority="108" id="{5C3B2FC0-E946-47E1-863A-986BF9439054}">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H89</xm:sqref>
        </x14:conditionalFormatting>
        <x14:conditionalFormatting xmlns:xm="http://schemas.microsoft.com/office/excel/2006/main">
          <x14:cfRule type="iconSet" priority="104" id="{E03C58B6-A829-49D7-A53A-2F8A0A9133CB}">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H90</xm:sqref>
        </x14:conditionalFormatting>
        <x14:conditionalFormatting xmlns:xm="http://schemas.microsoft.com/office/excel/2006/main">
          <x14:cfRule type="iconSet" priority="94" id="{E502C419-61ED-42A9-AB15-2A71AE8153A7}">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H54</xm:sqref>
        </x14:conditionalFormatting>
        <x14:conditionalFormatting xmlns:xm="http://schemas.microsoft.com/office/excel/2006/main">
          <x14:cfRule type="iconSet" priority="84" id="{768A3D60-83A2-4107-8674-10212A2F6186}">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H77</xm:sqref>
        </x14:conditionalFormatting>
        <x14:conditionalFormatting xmlns:xm="http://schemas.microsoft.com/office/excel/2006/main">
          <x14:cfRule type="iconSet" priority="63" id="{7075AEE6-CB73-4CB8-AF2C-F10FD63EFA79}">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H32</xm:sqref>
        </x14:conditionalFormatting>
        <x14:conditionalFormatting xmlns:xm="http://schemas.microsoft.com/office/excel/2006/main">
          <x14:cfRule type="iconSet" priority="54" id="{0BB1A8FF-9259-478F-9D6F-3ECFC7A0171D}">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H31</xm:sqref>
        </x14:conditionalFormatting>
        <x14:conditionalFormatting xmlns:xm="http://schemas.microsoft.com/office/excel/2006/main">
          <x14:cfRule type="iconSet" priority="53" id="{5C425505-F981-456B-9717-7A2ABE267ED0}">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H31</xm:sqref>
        </x14:conditionalFormatting>
        <x14:conditionalFormatting xmlns:xm="http://schemas.microsoft.com/office/excel/2006/main">
          <x14:cfRule type="iconSet" priority="52" id="{9229E8BA-A46C-416C-B043-713158607E71}">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H19</xm:sqref>
        </x14:conditionalFormatting>
        <x14:conditionalFormatting xmlns:xm="http://schemas.microsoft.com/office/excel/2006/main">
          <x14:cfRule type="iconSet" priority="51" id="{29D54AA2-CA38-4A05-9879-EF3408E9B125}">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H19</xm:sqref>
        </x14:conditionalFormatting>
        <x14:conditionalFormatting xmlns:xm="http://schemas.microsoft.com/office/excel/2006/main">
          <x14:cfRule type="iconSet" priority="50" id="{E4AF8526-35BE-4824-A011-0916E78C2ECA}">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H21</xm:sqref>
        </x14:conditionalFormatting>
        <x14:conditionalFormatting xmlns:xm="http://schemas.microsoft.com/office/excel/2006/main">
          <x14:cfRule type="iconSet" priority="49" id="{CE9F16D4-A2AD-4FC5-B6B3-E50EAED268A0}">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H21</xm:sqref>
        </x14:conditionalFormatting>
        <x14:conditionalFormatting xmlns:xm="http://schemas.microsoft.com/office/excel/2006/main">
          <x14:cfRule type="iconSet" priority="47" id="{18D595A7-B2BA-4330-8906-6C1A5FF4F9EA}">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H36</xm:sqref>
        </x14:conditionalFormatting>
        <x14:conditionalFormatting xmlns:xm="http://schemas.microsoft.com/office/excel/2006/main">
          <x14:cfRule type="iconSet" priority="46" id="{0B54AEF5-08C1-4052-9CA2-6C941B08696F}">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H37</xm:sqref>
        </x14:conditionalFormatting>
        <x14:conditionalFormatting xmlns:xm="http://schemas.microsoft.com/office/excel/2006/main">
          <x14:cfRule type="iconSet" priority="45" id="{332806BD-779C-44F9-972C-A60291B2CC93}">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H37</xm:sqref>
        </x14:conditionalFormatting>
        <x14:conditionalFormatting xmlns:xm="http://schemas.microsoft.com/office/excel/2006/main">
          <x14:cfRule type="iconSet" priority="43" id="{093F38B9-3243-4B50-B766-127D8A7B79BC}">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H38:H39</xm:sqref>
        </x14:conditionalFormatting>
        <x14:conditionalFormatting xmlns:xm="http://schemas.microsoft.com/office/excel/2006/main">
          <x14:cfRule type="iconSet" priority="41" id="{D6F502FA-BDBF-4B31-A3FA-A7AD0D4A111F}">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H62</xm:sqref>
        </x14:conditionalFormatting>
        <x14:conditionalFormatting xmlns:xm="http://schemas.microsoft.com/office/excel/2006/main">
          <x14:cfRule type="iconSet" priority="39" id="{283BCA70-7236-4F60-84C6-42FF5D520D49}">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H63</xm:sqref>
        </x14:conditionalFormatting>
        <x14:conditionalFormatting xmlns:xm="http://schemas.microsoft.com/office/excel/2006/main">
          <x14:cfRule type="iconSet" priority="38" id="{35253FF9-9805-4439-ACEB-59642DB8716D}">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H67</xm:sqref>
        </x14:conditionalFormatting>
        <x14:conditionalFormatting xmlns:xm="http://schemas.microsoft.com/office/excel/2006/main">
          <x14:cfRule type="iconSet" priority="37" id="{F1DB40C7-E8FE-441C-B516-A4E9AB668644}">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H67</xm:sqref>
        </x14:conditionalFormatting>
        <x14:conditionalFormatting xmlns:xm="http://schemas.microsoft.com/office/excel/2006/main">
          <x14:cfRule type="iconSet" priority="36" id="{BF25D552-E8E1-49E9-BB27-CEBCE74AA363}">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H69</xm:sqref>
        </x14:conditionalFormatting>
        <x14:conditionalFormatting xmlns:xm="http://schemas.microsoft.com/office/excel/2006/main">
          <x14:cfRule type="iconSet" priority="35" id="{31FB6C7A-8C2E-4950-8589-68933CA7D03B}">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H69</xm:sqref>
        </x14:conditionalFormatting>
        <x14:conditionalFormatting xmlns:xm="http://schemas.microsoft.com/office/excel/2006/main">
          <x14:cfRule type="iconSet" priority="33" id="{34BCF630-73E1-450F-B03F-1D16A6331957}">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H68</xm:sqref>
        </x14:conditionalFormatting>
        <x14:conditionalFormatting xmlns:xm="http://schemas.microsoft.com/office/excel/2006/main">
          <x14:cfRule type="iconSet" priority="31" id="{F6F7D727-CB9C-4478-8811-B2DEB6DD211C}">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H81</xm:sqref>
        </x14:conditionalFormatting>
        <x14:conditionalFormatting xmlns:xm="http://schemas.microsoft.com/office/excel/2006/main">
          <x14:cfRule type="iconSet" priority="29" id="{7C9217BC-6DE0-485E-A741-BDC48AE35FD5}">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H82</xm:sqref>
        </x14:conditionalFormatting>
        <x14:conditionalFormatting xmlns:xm="http://schemas.microsoft.com/office/excel/2006/main">
          <x14:cfRule type="iconSet" priority="27" id="{F1C19D8E-797F-4DA9-9ED5-A1F5034CD5E6}">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H83</xm:sqref>
        </x14:conditionalFormatting>
        <x14:conditionalFormatting xmlns:xm="http://schemas.microsoft.com/office/excel/2006/main">
          <x14:cfRule type="iconSet" priority="25" id="{8D45E84D-40D1-4E09-8989-452791E768B8}">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H86</xm:sqref>
        </x14:conditionalFormatting>
        <x14:conditionalFormatting xmlns:xm="http://schemas.microsoft.com/office/excel/2006/main">
          <x14:cfRule type="iconSet" priority="23" id="{4DDF9462-9AE7-410E-91A9-BCD50775BF0E}">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H87</xm:sqref>
        </x14:conditionalFormatting>
        <x14:conditionalFormatting xmlns:xm="http://schemas.microsoft.com/office/excel/2006/main">
          <x14:cfRule type="iconSet" priority="21" id="{C2CF551E-E839-48AA-88C3-935D5369BE33}">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H74</xm:sqref>
        </x14:conditionalFormatting>
        <x14:conditionalFormatting xmlns:xm="http://schemas.microsoft.com/office/excel/2006/main">
          <x14:cfRule type="iconSet" priority="19" id="{EB7B1DAD-D533-48D3-9900-06FF13362709}">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H76</xm:sqref>
        </x14:conditionalFormatting>
        <x14:conditionalFormatting xmlns:xm="http://schemas.microsoft.com/office/excel/2006/main">
          <x14:cfRule type="iconSet" priority="17" id="{4BA38031-C7CD-4492-8238-ED821A25B01C}">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H26</xm:sqref>
        </x14:conditionalFormatting>
        <x14:conditionalFormatting xmlns:xm="http://schemas.microsoft.com/office/excel/2006/main">
          <x14:cfRule type="iconSet" priority="15" id="{70AFE98E-6FD1-40C8-86C4-A13EE83A06B2}">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H28</xm:sqref>
        </x14:conditionalFormatting>
        <x14:conditionalFormatting xmlns:xm="http://schemas.microsoft.com/office/excel/2006/main">
          <x14:cfRule type="iconSet" priority="13" id="{12A610AF-4BEB-4A02-AF44-E56FF814FF1F}">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H40</xm:sqref>
        </x14:conditionalFormatting>
        <x14:conditionalFormatting xmlns:xm="http://schemas.microsoft.com/office/excel/2006/main">
          <x14:cfRule type="iconSet" priority="11" id="{870B62C8-087B-4C77-8684-998546912B02}">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H44</xm:sqref>
        </x14:conditionalFormatting>
        <x14:conditionalFormatting xmlns:xm="http://schemas.microsoft.com/office/excel/2006/main">
          <x14:cfRule type="iconSet" priority="9" id="{5F6CE404-F376-4B1B-89E2-960A867D35D7}">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H51</xm:sqref>
        </x14:conditionalFormatting>
        <x14:conditionalFormatting xmlns:xm="http://schemas.microsoft.com/office/excel/2006/main">
          <x14:cfRule type="iconSet" priority="7" id="{F47594E9-16E8-4D50-9361-3615C44B215F}">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H57</xm:sqref>
        </x14:conditionalFormatting>
        <x14:conditionalFormatting xmlns:xm="http://schemas.microsoft.com/office/excel/2006/main">
          <x14:cfRule type="iconSet" priority="5" id="{B64941DA-1D64-4D2D-B5A0-87386BCAC7A1}">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H59</xm:sqref>
        </x14:conditionalFormatting>
        <x14:conditionalFormatting xmlns:xm="http://schemas.microsoft.com/office/excel/2006/main">
          <x14:cfRule type="iconSet" priority="3" id="{2485010A-DFC7-4C08-BA15-55BB5E36841C}">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H64</xm:sqref>
        </x14:conditionalFormatting>
        <x14:conditionalFormatting xmlns:xm="http://schemas.microsoft.com/office/excel/2006/main">
          <x14:cfRule type="iconSet" priority="1" id="{4164F9C0-6C1C-4C9B-8543-C4A5A6D14E49}">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H61</xm:sqref>
        </x14:conditionalFormatting>
      </x14:conditionalFormattings>
    </ext>
    <ext xmlns:x14="http://schemas.microsoft.com/office/spreadsheetml/2009/9/main" uri="{05C60535-1F16-4fd2-B633-F4F36F0B64E0}">
      <x14:sparklineGroups xmlns:xm="http://schemas.microsoft.com/office/excel/2006/main">
        <x14:sparklineGroup markers="1">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Calculations!C68:G68</xm:f>
              <xm:sqref>J61</xm:sqref>
            </x14:sparkline>
          </x14:sparklines>
        </x14:sparklineGroup>
        <x14:sparklineGroup markers="1">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Calculations!C15:G15</xm:f>
              <xm:sqref>J54</xm:sqref>
            </x14:sparkline>
            <x14:sparkline>
              <xm:f>Calculations!C16:G16</xm:f>
              <xm:sqref>J55</xm:sqref>
            </x14:sparkline>
            <x14:sparkline>
              <xm:f>Calculations!C17:G17</xm:f>
              <xm:sqref>J56</xm:sqref>
            </x14:sparkline>
            <x14:sparkline>
              <xm:f>Calculations!C18:G18</xm:f>
              <xm:sqref>J57</xm:sqref>
            </x14:sparkline>
            <x14:sparkline>
              <xm:f>Calculations!C19:G19</xm:f>
              <xm:sqref>J58</xm:sqref>
            </x14:sparkline>
            <x14:sparkline>
              <xm:f>Calculations!C20:G20</xm:f>
              <xm:sqref>J59</xm:sqref>
            </x14:sparkline>
            <x14:sparkline>
              <xm:f>Calculations!C21:G21</xm:f>
              <xm:sqref>J18</xm:sqref>
            </x14:sparkline>
            <x14:sparkline>
              <xm:f>Calculations!C22:G22</xm:f>
              <xm:sqref>J19</xm:sqref>
            </x14:sparkline>
            <x14:sparkline>
              <xm:f>Calculations!C23:G23</xm:f>
              <xm:sqref>J21</xm:sqref>
            </x14:sparkline>
            <x14:sparkline>
              <xm:f>Calculations!C24:G24</xm:f>
              <xm:sqref>J20</xm:sqref>
            </x14:sparkline>
            <x14:sparkline>
              <xm:f>Calculations!C25:G25</xm:f>
              <xm:sqref>J22</xm:sqref>
            </x14:sparkline>
            <x14:sparkline>
              <xm:f>Calculations!C26:G26</xm:f>
              <xm:sqref>J24</xm:sqref>
            </x14:sparkline>
            <x14:sparkline>
              <xm:f>Calculations!C27:G27</xm:f>
              <xm:sqref>J25</xm:sqref>
            </x14:sparkline>
            <x14:sparkline>
              <xm:f>Calculations!C28:G28</xm:f>
              <xm:sqref>J27</xm:sqref>
            </x14:sparkline>
            <x14:sparkline>
              <xm:f>Calculations!C29:G29</xm:f>
              <xm:sqref>J26</xm:sqref>
            </x14:sparkline>
            <x14:sparkline>
              <xm:f>Calculations!C30:G30</xm:f>
              <xm:sqref>J28</xm:sqref>
            </x14:sparkline>
            <x14:sparkline>
              <xm:f>Calculations!C31:G31</xm:f>
              <xm:sqref>J30</xm:sqref>
            </x14:sparkline>
            <x14:sparkline>
              <xm:f>Calculations!C32:G32</xm:f>
              <xm:sqref>J31</xm:sqref>
            </x14:sparkline>
            <x14:sparkline>
              <xm:f>Calculations!C33:G33</xm:f>
              <xm:sqref>J32</xm:sqref>
            </x14:sparkline>
            <x14:sparkline>
              <xm:f>Calculations!C34:G34</xm:f>
              <xm:sqref>J35</xm:sqref>
            </x14:sparkline>
            <x14:sparkline>
              <xm:f>Calculations!C35:G35</xm:f>
              <xm:sqref>J36</xm:sqref>
            </x14:sparkline>
            <x14:sparkline>
              <xm:f>Calculations!C36:G36</xm:f>
              <xm:sqref>J37</xm:sqref>
            </x14:sparkline>
            <x14:sparkline>
              <xm:f>Calculations!C37:G37</xm:f>
              <xm:sqref>J38</xm:sqref>
            </x14:sparkline>
            <x14:sparkline>
              <xm:f>Calculations!C38:G38</xm:f>
              <xm:sqref>J39</xm:sqref>
            </x14:sparkline>
            <x14:sparkline>
              <xm:f>Calculations!C39:G39</xm:f>
              <xm:sqref>J40</xm:sqref>
            </x14:sparkline>
            <x14:sparkline>
              <xm:f>Calculations!C40:G40</xm:f>
              <xm:sqref>J42</xm:sqref>
            </x14:sparkline>
            <x14:sparkline>
              <xm:f>Calculations!C41:G41</xm:f>
              <xm:sqref>J43</xm:sqref>
            </x14:sparkline>
            <x14:sparkline>
              <xm:f>Calculations!C42:G42</xm:f>
              <xm:sqref>J44</xm:sqref>
            </x14:sparkline>
            <x14:sparkline>
              <xm:f>Calculations!C43:G43</xm:f>
              <xm:sqref>J45</xm:sqref>
            </x14:sparkline>
            <x14:sparkline>
              <xm:f>Calculations!C44:G44</xm:f>
              <xm:sqref>J46</xm:sqref>
            </x14:sparkline>
            <x14:sparkline>
              <xm:f>Calculations!C45:G45</xm:f>
              <xm:sqref>J47</xm:sqref>
            </x14:sparkline>
            <x14:sparkline>
              <xm:f>Calculations!C46:G46</xm:f>
              <xm:sqref>J48</xm:sqref>
            </x14:sparkline>
            <x14:sparkline>
              <xm:f>Calculations!C47:G47</xm:f>
              <xm:sqref>J49</xm:sqref>
            </x14:sparkline>
            <x14:sparkline>
              <xm:f>Calculations!C48:G48</xm:f>
              <xm:sqref>J50</xm:sqref>
            </x14:sparkline>
            <x14:sparkline>
              <xm:f>Calculations!C49:G49</xm:f>
              <xm:sqref>J51</xm:sqref>
            </x14:sparkline>
            <x14:sparkline>
              <xm:f>Calculations!C50:G50</xm:f>
              <xm:sqref>J62</xm:sqref>
            </x14:sparkline>
            <x14:sparkline>
              <xm:f>Calculations!C51:G51</xm:f>
              <xm:sqref>J63</xm:sqref>
            </x14:sparkline>
            <x14:sparkline>
              <xm:f>Calculations!C52:G52</xm:f>
              <xm:sqref>J64</xm:sqref>
            </x14:sparkline>
            <x14:sparkline>
              <xm:f>Calculations!C53:G53</xm:f>
              <xm:sqref>J67</xm:sqref>
            </x14:sparkline>
            <x14:sparkline>
              <xm:f>Calculations!C54:G54</xm:f>
              <xm:sqref>J68</xm:sqref>
            </x14:sparkline>
            <x14:sparkline>
              <xm:f>Calculations!C55:G55</xm:f>
              <xm:sqref>J69</xm:sqref>
            </x14:sparkline>
            <x14:sparkline>
              <xm:f>Calculations!C56:G56</xm:f>
              <xm:sqref>J72</xm:sqref>
            </x14:sparkline>
            <x14:sparkline>
              <xm:f>Calculations!C57:G57</xm:f>
              <xm:sqref>J73</xm:sqref>
            </x14:sparkline>
            <x14:sparkline>
              <xm:f>Calculations!C58:G58</xm:f>
              <xm:sqref>J74</xm:sqref>
            </x14:sparkline>
            <x14:sparkline>
              <xm:f>Calculations!C59:G59</xm:f>
              <xm:sqref>J75</xm:sqref>
            </x14:sparkline>
            <x14:sparkline>
              <xm:f>Calculations!C60:G60</xm:f>
              <xm:sqref>J76</xm:sqref>
            </x14:sparkline>
            <x14:sparkline>
              <xm:f>Calculations!C61:G61</xm:f>
              <xm:sqref>J77</xm:sqref>
            </x14:sparkline>
            <x14:sparkline>
              <xm:f>Calculations!C62:G62</xm:f>
              <xm:sqref>J78</xm:sqref>
            </x14:sparkline>
            <x14:sparkline>
              <xm:f>Calculations!C63:G63</xm:f>
              <xm:sqref>J81</xm:sqref>
            </x14:sparkline>
            <x14:sparkline>
              <xm:f>Calculations!C64:G64</xm:f>
              <xm:sqref>J82</xm:sqref>
            </x14:sparkline>
            <x14:sparkline>
              <xm:f>Calculations!C65:G65</xm:f>
              <xm:sqref>J83</xm:sqref>
            </x14:sparkline>
            <x14:sparkline>
              <xm:f>Calculations!C71:G71</xm:f>
              <xm:sqref>J84</xm:sqref>
            </x14:sparkline>
            <x14:sparkline>
              <xm:f>Calculations!C66:G66</xm:f>
              <xm:sqref>J86</xm:sqref>
            </x14:sparkline>
            <x14:sparkline>
              <xm:f>Calculations!C67:G67</xm:f>
              <xm:sqref>J87</xm:sqref>
            </x14:sparkline>
            <x14:sparkline>
              <xm:f>Calculations!C68:G68</xm:f>
              <xm:sqref>J88</xm:sqref>
            </x14:sparkline>
            <x14:sparkline>
              <xm:f>Calculations!C69:G69</xm:f>
              <xm:sqref>J89</xm:sqref>
            </x14:sparkline>
            <x14:sparkline>
              <xm:f>Calculations!C70:G70</xm:f>
              <xm:sqref>J90</xm:sqref>
            </x14:sparkline>
            <x14:sparkline>
              <xm:f>Calculations!C72:G72</xm:f>
              <xm:sqref>J91</xm:sqref>
            </x14:sparkline>
            <x14:sparkline>
              <xm:f>Calculations!C73:G73</xm:f>
              <xm:sqref>J92</xm:sqref>
            </x14:sparkline>
          </x14:sparklines>
        </x14:sparklineGroup>
        <x14:sparklineGroup displayEmptyCellsAs="gap" markers="1" first="1" last="1">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Calculations!C8:G8</xm:f>
              <xm:sqref>B10</xm:sqref>
            </x14:sparkline>
            <x14:sparkline>
              <xm:f>Calculations!C9:G9</xm:f>
              <xm:sqref>D10</xm:sqref>
            </x14:sparkline>
            <x14:sparkline>
              <xm:f>Calculations!C10:G10</xm:f>
              <xm:sqref>F10</xm:sqref>
            </x14:sparkline>
            <x14:sparkline>
              <xm:f>Calculations!C11:G11</xm:f>
              <xm:sqref>H10</xm:sqref>
            </x14:sparkline>
            <x14:sparkline>
              <xm:f>Calculations!C12:G12</xm:f>
              <xm:sqref>K10</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91"/>
  <sheetViews>
    <sheetView zoomScaleNormal="100" workbookViewId="0">
      <selection sqref="A1:F1"/>
    </sheetView>
  </sheetViews>
  <sheetFormatPr defaultRowHeight="14.5" x14ac:dyDescent="0.35"/>
  <cols>
    <col min="1" max="1" width="2.81640625" style="7" customWidth="1"/>
    <col min="2" max="2" width="102.1796875" style="63" customWidth="1"/>
    <col min="3" max="4" width="7.7265625" hidden="1" customWidth="1"/>
    <col min="5" max="6" width="7.7265625" style="5" hidden="1" customWidth="1"/>
    <col min="7" max="29" width="9.1796875" style="4"/>
  </cols>
  <sheetData>
    <row r="1" spans="1:29" ht="21" x14ac:dyDescent="0.5">
      <c r="A1" s="413" t="s">
        <v>406</v>
      </c>
      <c r="B1" s="413"/>
      <c r="C1" s="413"/>
      <c r="D1" s="413"/>
      <c r="E1" s="413"/>
      <c r="F1" s="413"/>
    </row>
    <row r="2" spans="1:29" x14ac:dyDescent="0.35">
      <c r="A2" s="52"/>
      <c r="B2" s="22"/>
      <c r="C2" s="21"/>
      <c r="D2" s="21"/>
      <c r="E2" s="6"/>
      <c r="F2" s="6"/>
      <c r="G2"/>
      <c r="H2"/>
      <c r="I2"/>
      <c r="J2"/>
      <c r="K2"/>
      <c r="L2"/>
      <c r="M2"/>
      <c r="N2"/>
      <c r="O2"/>
      <c r="P2"/>
      <c r="Q2"/>
      <c r="R2"/>
      <c r="S2"/>
      <c r="T2"/>
      <c r="U2"/>
      <c r="V2"/>
      <c r="W2"/>
      <c r="X2"/>
      <c r="Y2"/>
      <c r="Z2"/>
      <c r="AA2"/>
      <c r="AB2"/>
      <c r="AC2"/>
    </row>
    <row r="3" spans="1:29" x14ac:dyDescent="0.35">
      <c r="A3" s="52" t="s">
        <v>152</v>
      </c>
      <c r="B3" s="59"/>
      <c r="C3" s="21"/>
      <c r="D3" s="21"/>
      <c r="E3" s="6"/>
      <c r="F3" s="6"/>
      <c r="G3"/>
      <c r="H3"/>
      <c r="I3"/>
      <c r="J3"/>
      <c r="K3"/>
      <c r="L3"/>
      <c r="M3"/>
      <c r="N3"/>
      <c r="O3"/>
      <c r="P3"/>
      <c r="Q3"/>
      <c r="R3"/>
      <c r="S3"/>
      <c r="T3"/>
      <c r="U3"/>
      <c r="V3"/>
      <c r="W3"/>
      <c r="X3"/>
      <c r="Y3"/>
      <c r="Z3"/>
      <c r="AA3"/>
      <c r="AB3"/>
      <c r="AC3"/>
    </row>
    <row r="4" spans="1:29" x14ac:dyDescent="0.35">
      <c r="A4" s="21"/>
      <c r="B4" s="59" t="s">
        <v>71</v>
      </c>
      <c r="C4" s="21"/>
      <c r="D4" s="21"/>
      <c r="E4" s="6"/>
      <c r="F4" s="6"/>
      <c r="G4"/>
      <c r="H4"/>
      <c r="I4"/>
      <c r="J4"/>
      <c r="K4"/>
      <c r="L4"/>
      <c r="M4"/>
      <c r="N4"/>
      <c r="O4"/>
      <c r="P4"/>
      <c r="Q4"/>
      <c r="R4"/>
      <c r="S4"/>
      <c r="T4"/>
      <c r="U4"/>
      <c r="V4"/>
      <c r="W4"/>
      <c r="X4"/>
      <c r="Y4"/>
      <c r="Z4"/>
      <c r="AA4"/>
      <c r="AB4"/>
      <c r="AC4"/>
    </row>
    <row r="5" spans="1:29" x14ac:dyDescent="0.35">
      <c r="A5" s="66"/>
      <c r="B5" s="22" t="s">
        <v>405</v>
      </c>
      <c r="C5" s="19"/>
      <c r="D5" s="2"/>
      <c r="E5" s="8" t="s">
        <v>52</v>
      </c>
      <c r="F5" s="24" t="s">
        <v>72</v>
      </c>
      <c r="G5"/>
      <c r="H5"/>
      <c r="I5"/>
      <c r="J5"/>
      <c r="K5"/>
      <c r="L5"/>
      <c r="M5"/>
      <c r="N5"/>
      <c r="O5"/>
      <c r="P5"/>
      <c r="Q5"/>
      <c r="R5"/>
      <c r="S5"/>
      <c r="T5"/>
      <c r="U5"/>
      <c r="V5"/>
      <c r="W5"/>
      <c r="X5"/>
      <c r="Y5"/>
      <c r="Z5"/>
      <c r="AA5"/>
      <c r="AB5"/>
      <c r="AC5"/>
    </row>
    <row r="6" spans="1:29" ht="15" customHeight="1" x14ac:dyDescent="0.35">
      <c r="A6" s="66"/>
      <c r="B6" s="60" t="s">
        <v>177</v>
      </c>
      <c r="C6" s="23"/>
      <c r="D6" s="2" t="s">
        <v>73</v>
      </c>
      <c r="E6" s="9" t="s">
        <v>55</v>
      </c>
      <c r="F6" s="23" t="s">
        <v>56</v>
      </c>
      <c r="G6"/>
      <c r="H6"/>
      <c r="I6"/>
      <c r="J6"/>
      <c r="K6"/>
      <c r="L6"/>
      <c r="M6"/>
      <c r="N6"/>
      <c r="O6"/>
      <c r="P6"/>
      <c r="Q6"/>
      <c r="R6"/>
      <c r="S6"/>
      <c r="T6"/>
      <c r="U6"/>
      <c r="V6"/>
      <c r="W6"/>
      <c r="X6"/>
      <c r="Y6"/>
      <c r="Z6"/>
      <c r="AA6"/>
      <c r="AB6"/>
      <c r="AC6"/>
    </row>
    <row r="7" spans="1:29" x14ac:dyDescent="0.35">
      <c r="A7" s="66"/>
      <c r="B7" s="22" t="s">
        <v>74</v>
      </c>
      <c r="C7" s="19"/>
      <c r="D7" s="1"/>
      <c r="E7" s="51"/>
      <c r="F7" s="51"/>
      <c r="G7"/>
      <c r="H7"/>
      <c r="I7"/>
      <c r="J7"/>
      <c r="K7"/>
      <c r="L7"/>
      <c r="M7"/>
      <c r="N7"/>
      <c r="O7"/>
      <c r="P7"/>
      <c r="Q7"/>
      <c r="R7"/>
      <c r="S7"/>
      <c r="T7"/>
      <c r="U7"/>
      <c r="V7"/>
      <c r="W7"/>
      <c r="X7"/>
      <c r="Y7"/>
      <c r="Z7"/>
      <c r="AA7"/>
      <c r="AB7"/>
      <c r="AC7"/>
    </row>
    <row r="8" spans="1:29" ht="7.5" customHeight="1" x14ac:dyDescent="0.35">
      <c r="A8" s="19"/>
      <c r="B8" s="53"/>
      <c r="C8" s="3"/>
      <c r="D8" s="3"/>
      <c r="E8" s="6"/>
      <c r="F8" s="6"/>
      <c r="G8"/>
      <c r="H8"/>
      <c r="I8"/>
      <c r="J8"/>
      <c r="K8"/>
      <c r="L8"/>
      <c r="M8"/>
      <c r="N8"/>
      <c r="O8"/>
      <c r="P8"/>
      <c r="Q8"/>
      <c r="R8"/>
      <c r="S8"/>
      <c r="T8"/>
      <c r="U8"/>
      <c r="V8"/>
      <c r="W8"/>
      <c r="X8"/>
      <c r="Y8"/>
      <c r="Z8"/>
      <c r="AA8"/>
      <c r="AB8"/>
      <c r="AC8"/>
    </row>
    <row r="9" spans="1:29" x14ac:dyDescent="0.35">
      <c r="A9" s="11"/>
      <c r="B9" s="61" t="s">
        <v>75</v>
      </c>
      <c r="C9" s="11"/>
      <c r="D9" s="21"/>
      <c r="E9" s="6"/>
      <c r="F9" s="6"/>
      <c r="G9"/>
      <c r="H9"/>
      <c r="I9"/>
      <c r="J9"/>
      <c r="K9"/>
      <c r="L9"/>
      <c r="M9"/>
      <c r="N9"/>
      <c r="O9"/>
      <c r="P9"/>
      <c r="Q9"/>
      <c r="R9"/>
      <c r="S9"/>
      <c r="T9"/>
      <c r="U9"/>
      <c r="V9"/>
      <c r="W9"/>
      <c r="X9"/>
      <c r="Y9"/>
      <c r="Z9"/>
      <c r="AA9"/>
      <c r="AB9"/>
      <c r="AC9"/>
    </row>
    <row r="10" spans="1:29" x14ac:dyDescent="0.35">
      <c r="A10" s="3"/>
      <c r="B10" s="22" t="s">
        <v>405</v>
      </c>
      <c r="C10" s="20"/>
      <c r="D10" s="2"/>
      <c r="E10" s="8" t="s">
        <v>52</v>
      </c>
      <c r="F10" s="24" t="s">
        <v>76</v>
      </c>
      <c r="G10"/>
      <c r="H10"/>
      <c r="I10"/>
      <c r="J10"/>
      <c r="K10"/>
      <c r="L10"/>
      <c r="M10"/>
      <c r="N10"/>
      <c r="O10"/>
      <c r="P10"/>
      <c r="Q10"/>
      <c r="R10"/>
      <c r="S10"/>
      <c r="T10"/>
      <c r="U10"/>
      <c r="V10"/>
      <c r="W10"/>
      <c r="X10"/>
      <c r="Y10"/>
      <c r="Z10"/>
      <c r="AA10"/>
      <c r="AB10"/>
      <c r="AC10"/>
    </row>
    <row r="11" spans="1:29" x14ac:dyDescent="0.35">
      <c r="A11" s="3"/>
      <c r="B11" s="22" t="s">
        <v>77</v>
      </c>
      <c r="C11" s="19"/>
      <c r="D11" s="2" t="s">
        <v>78</v>
      </c>
      <c r="E11" s="9" t="s">
        <v>55</v>
      </c>
      <c r="F11" s="23" t="s">
        <v>79</v>
      </c>
      <c r="G11"/>
      <c r="H11"/>
      <c r="I11"/>
      <c r="J11"/>
      <c r="K11"/>
      <c r="L11"/>
      <c r="M11"/>
      <c r="N11"/>
      <c r="O11"/>
      <c r="P11"/>
      <c r="Q11"/>
      <c r="R11"/>
      <c r="S11"/>
      <c r="T11"/>
      <c r="U11"/>
      <c r="V11"/>
      <c r="W11"/>
      <c r="X11"/>
      <c r="Y11"/>
      <c r="Z11"/>
      <c r="AA11"/>
      <c r="AB11"/>
      <c r="AC11"/>
    </row>
    <row r="12" spans="1:29" x14ac:dyDescent="0.35">
      <c r="A12" s="3"/>
      <c r="B12" s="22" t="s">
        <v>80</v>
      </c>
      <c r="C12" s="19"/>
      <c r="D12" s="3"/>
      <c r="E12" s="10" t="s">
        <v>57</v>
      </c>
      <c r="F12" s="23" t="s">
        <v>81</v>
      </c>
      <c r="G12"/>
      <c r="H12"/>
      <c r="I12"/>
      <c r="J12"/>
      <c r="K12"/>
      <c r="L12"/>
      <c r="M12"/>
      <c r="N12"/>
      <c r="O12"/>
      <c r="P12"/>
      <c r="Q12"/>
      <c r="R12"/>
      <c r="S12"/>
      <c r="T12"/>
      <c r="U12"/>
      <c r="V12"/>
      <c r="W12"/>
      <c r="X12"/>
      <c r="Y12"/>
      <c r="Z12"/>
      <c r="AA12"/>
      <c r="AB12"/>
      <c r="AC12"/>
    </row>
    <row r="13" spans="1:29" ht="7.5" customHeight="1" x14ac:dyDescent="0.35">
      <c r="A13" s="19"/>
      <c r="B13" s="53"/>
      <c r="C13" s="3"/>
      <c r="D13" s="3"/>
      <c r="E13" s="6"/>
      <c r="F13" s="6"/>
      <c r="G13"/>
      <c r="H13"/>
      <c r="I13"/>
      <c r="J13"/>
      <c r="K13"/>
      <c r="L13"/>
      <c r="M13"/>
      <c r="N13"/>
      <c r="O13"/>
      <c r="P13"/>
      <c r="Q13"/>
      <c r="R13"/>
      <c r="S13"/>
      <c r="T13"/>
      <c r="U13"/>
      <c r="V13"/>
      <c r="W13"/>
      <c r="X13"/>
      <c r="Y13"/>
      <c r="Z13"/>
      <c r="AA13"/>
      <c r="AB13"/>
      <c r="AC13"/>
    </row>
    <row r="14" spans="1:29" x14ac:dyDescent="0.35">
      <c r="A14" s="21"/>
      <c r="B14" s="59" t="s">
        <v>151</v>
      </c>
      <c r="C14" s="21"/>
      <c r="D14" s="21"/>
      <c r="E14" s="6"/>
      <c r="F14" s="6"/>
      <c r="G14"/>
      <c r="H14"/>
      <c r="I14"/>
      <c r="J14"/>
      <c r="K14"/>
      <c r="L14"/>
      <c r="M14"/>
      <c r="N14"/>
      <c r="O14"/>
      <c r="P14"/>
      <c r="Q14"/>
      <c r="R14"/>
      <c r="S14"/>
      <c r="T14"/>
      <c r="U14"/>
      <c r="V14"/>
      <c r="W14"/>
      <c r="X14"/>
      <c r="Y14"/>
      <c r="Z14"/>
      <c r="AA14"/>
      <c r="AB14"/>
      <c r="AC14"/>
    </row>
    <row r="15" spans="1:29" x14ac:dyDescent="0.35">
      <c r="A15" s="66"/>
      <c r="B15" s="22" t="s">
        <v>405</v>
      </c>
      <c r="C15" s="19"/>
      <c r="D15" s="2"/>
      <c r="E15" s="8" t="s">
        <v>52</v>
      </c>
      <c r="F15" s="24" t="s">
        <v>72</v>
      </c>
      <c r="G15"/>
      <c r="H15"/>
      <c r="I15"/>
      <c r="J15"/>
      <c r="K15"/>
      <c r="L15"/>
      <c r="M15"/>
      <c r="N15"/>
      <c r="O15"/>
      <c r="P15"/>
      <c r="Q15"/>
      <c r="R15"/>
      <c r="S15"/>
      <c r="T15"/>
      <c r="U15"/>
      <c r="V15"/>
      <c r="W15"/>
      <c r="X15"/>
      <c r="Y15"/>
      <c r="Z15"/>
      <c r="AA15"/>
      <c r="AB15"/>
      <c r="AC15"/>
    </row>
    <row r="16" spans="1:29" x14ac:dyDescent="0.35">
      <c r="A16" s="66"/>
      <c r="B16" s="22" t="s">
        <v>97</v>
      </c>
      <c r="C16" s="19"/>
      <c r="D16" s="2"/>
      <c r="E16" s="8"/>
      <c r="F16" s="24"/>
      <c r="G16"/>
      <c r="H16"/>
      <c r="I16"/>
      <c r="J16"/>
      <c r="K16"/>
      <c r="L16"/>
      <c r="M16"/>
      <c r="N16"/>
      <c r="O16"/>
      <c r="P16"/>
      <c r="Q16"/>
      <c r="R16"/>
      <c r="S16"/>
      <c r="T16"/>
      <c r="U16"/>
      <c r="V16"/>
      <c r="W16"/>
      <c r="X16"/>
      <c r="Y16"/>
      <c r="Z16"/>
      <c r="AA16"/>
      <c r="AB16"/>
      <c r="AC16"/>
    </row>
    <row r="17" spans="1:29" ht="29" x14ac:dyDescent="0.35">
      <c r="A17" s="3"/>
      <c r="B17" s="60" t="s">
        <v>410</v>
      </c>
      <c r="C17" s="19"/>
      <c r="D17" s="3"/>
      <c r="E17" s="10" t="s">
        <v>57</v>
      </c>
      <c r="F17" s="23" t="s">
        <v>81</v>
      </c>
      <c r="G17"/>
      <c r="H17"/>
      <c r="I17"/>
      <c r="J17"/>
      <c r="K17"/>
      <c r="L17"/>
      <c r="M17"/>
      <c r="N17"/>
      <c r="O17"/>
      <c r="P17"/>
      <c r="Q17"/>
      <c r="R17"/>
      <c r="S17"/>
      <c r="T17"/>
      <c r="U17"/>
      <c r="V17"/>
      <c r="W17"/>
      <c r="X17"/>
      <c r="Y17"/>
      <c r="Z17"/>
      <c r="AA17"/>
      <c r="AB17"/>
      <c r="AC17"/>
    </row>
    <row r="18" spans="1:29" x14ac:dyDescent="0.35">
      <c r="A18" s="52"/>
      <c r="B18" s="22"/>
      <c r="C18" s="21"/>
      <c r="D18" s="21"/>
      <c r="E18" s="6"/>
      <c r="F18" s="6"/>
      <c r="G18"/>
      <c r="H18"/>
      <c r="I18"/>
      <c r="J18"/>
      <c r="K18"/>
      <c r="L18"/>
      <c r="M18"/>
      <c r="N18"/>
      <c r="O18"/>
      <c r="P18"/>
      <c r="Q18"/>
      <c r="R18"/>
      <c r="S18"/>
      <c r="T18"/>
      <c r="U18"/>
      <c r="V18"/>
      <c r="W18"/>
      <c r="X18"/>
      <c r="Y18"/>
      <c r="Z18"/>
      <c r="AA18"/>
      <c r="AB18"/>
      <c r="AC18"/>
    </row>
    <row r="19" spans="1:29" x14ac:dyDescent="0.35">
      <c r="A19" s="52" t="s">
        <v>96</v>
      </c>
      <c r="B19" s="58"/>
      <c r="C19" s="11"/>
      <c r="D19" s="21"/>
      <c r="E19" s="6"/>
      <c r="F19" s="6"/>
      <c r="AA19"/>
      <c r="AB19"/>
      <c r="AC19"/>
    </row>
    <row r="20" spans="1:29" x14ac:dyDescent="0.35">
      <c r="A20" s="11"/>
      <c r="B20" s="59" t="s">
        <v>37</v>
      </c>
      <c r="C20" s="11"/>
      <c r="D20" s="21"/>
      <c r="E20" s="6"/>
      <c r="F20" s="6"/>
      <c r="AA20"/>
      <c r="AB20"/>
      <c r="AC20"/>
    </row>
    <row r="21" spans="1:29" x14ac:dyDescent="0.35">
      <c r="A21" s="3"/>
      <c r="B21" s="22" t="s">
        <v>407</v>
      </c>
      <c r="C21" s="19"/>
      <c r="D21" s="2"/>
      <c r="E21" s="8" t="s">
        <v>52</v>
      </c>
      <c r="F21" s="12" t="s">
        <v>67</v>
      </c>
      <c r="AA21"/>
      <c r="AB21"/>
      <c r="AC21"/>
    </row>
    <row r="22" spans="1:29" x14ac:dyDescent="0.35">
      <c r="A22" s="3"/>
      <c r="B22" s="22" t="s">
        <v>93</v>
      </c>
      <c r="C22" s="19"/>
      <c r="D22" s="2"/>
      <c r="E22" s="8"/>
      <c r="F22" s="12"/>
      <c r="AA22"/>
      <c r="AB22"/>
      <c r="AC22"/>
    </row>
    <row r="23" spans="1:29" x14ac:dyDescent="0.35">
      <c r="A23" s="53"/>
      <c r="B23" s="22" t="s">
        <v>68</v>
      </c>
      <c r="C23" s="22"/>
      <c r="D23" s="2" t="s">
        <v>69</v>
      </c>
      <c r="E23" s="9" t="s">
        <v>55</v>
      </c>
      <c r="F23" s="23" t="s">
        <v>70</v>
      </c>
      <c r="AA23"/>
      <c r="AB23"/>
      <c r="AC23"/>
    </row>
    <row r="24" spans="1:29" ht="7.5" customHeight="1" x14ac:dyDescent="0.35">
      <c r="A24" s="19"/>
      <c r="B24" s="53"/>
      <c r="C24" s="3"/>
      <c r="D24" s="3"/>
      <c r="E24" s="6"/>
      <c r="F24" s="6"/>
      <c r="G24"/>
      <c r="H24"/>
      <c r="I24"/>
      <c r="J24"/>
      <c r="K24"/>
      <c r="L24"/>
      <c r="M24"/>
      <c r="N24"/>
      <c r="O24"/>
      <c r="P24"/>
      <c r="Q24"/>
      <c r="R24"/>
      <c r="S24"/>
      <c r="T24"/>
      <c r="U24"/>
      <c r="V24"/>
      <c r="W24"/>
      <c r="X24"/>
      <c r="Y24"/>
      <c r="Z24"/>
      <c r="AA24"/>
      <c r="AB24"/>
      <c r="AC24"/>
    </row>
    <row r="25" spans="1:29" x14ac:dyDescent="0.35">
      <c r="A25" s="11"/>
      <c r="B25" s="59" t="s">
        <v>38</v>
      </c>
      <c r="C25" s="11"/>
      <c r="D25" s="21"/>
      <c r="E25" s="6"/>
      <c r="F25" s="6"/>
      <c r="AA25"/>
      <c r="AB25"/>
      <c r="AC25"/>
    </row>
    <row r="26" spans="1:29" x14ac:dyDescent="0.35">
      <c r="A26" s="3"/>
      <c r="B26" s="22" t="s">
        <v>411</v>
      </c>
      <c r="C26" s="19"/>
      <c r="D26" s="2"/>
      <c r="E26" s="8" t="s">
        <v>52</v>
      </c>
      <c r="F26" s="12" t="s">
        <v>67</v>
      </c>
      <c r="AA26"/>
      <c r="AB26"/>
      <c r="AC26"/>
    </row>
    <row r="27" spans="1:29" x14ac:dyDescent="0.35">
      <c r="A27" s="3"/>
      <c r="B27" s="22" t="s">
        <v>93</v>
      </c>
      <c r="C27" s="19"/>
      <c r="D27" s="2"/>
      <c r="E27" s="8"/>
      <c r="F27" s="12"/>
      <c r="AA27"/>
      <c r="AB27"/>
      <c r="AC27"/>
    </row>
    <row r="28" spans="1:29" x14ac:dyDescent="0.35">
      <c r="A28" s="53"/>
      <c r="B28" s="22" t="s">
        <v>94</v>
      </c>
      <c r="C28" s="22"/>
      <c r="D28" s="2" t="s">
        <v>69</v>
      </c>
      <c r="E28" s="9" t="s">
        <v>55</v>
      </c>
      <c r="F28" s="23" t="s">
        <v>70</v>
      </c>
      <c r="AA28"/>
      <c r="AB28"/>
      <c r="AC28"/>
    </row>
    <row r="29" spans="1:29" x14ac:dyDescent="0.35">
      <c r="A29" s="52"/>
      <c r="B29" s="22"/>
      <c r="C29" s="21"/>
      <c r="D29" s="21"/>
      <c r="E29" s="6"/>
      <c r="F29" s="6"/>
      <c r="G29"/>
      <c r="H29"/>
      <c r="I29"/>
      <c r="J29"/>
      <c r="K29"/>
      <c r="L29"/>
      <c r="M29"/>
      <c r="N29"/>
      <c r="O29"/>
      <c r="P29"/>
      <c r="Q29"/>
      <c r="R29"/>
      <c r="S29"/>
      <c r="T29"/>
      <c r="U29"/>
      <c r="V29"/>
      <c r="W29"/>
      <c r="X29"/>
      <c r="Y29"/>
      <c r="Z29"/>
      <c r="AA29"/>
      <c r="AB29"/>
      <c r="AC29"/>
    </row>
    <row r="30" spans="1:29" x14ac:dyDescent="0.35">
      <c r="A30" s="52" t="s">
        <v>48</v>
      </c>
      <c r="B30" s="62"/>
      <c r="C30" s="19"/>
      <c r="D30" s="3"/>
      <c r="E30" s="10"/>
      <c r="F30" s="23"/>
      <c r="AA30"/>
      <c r="AB30"/>
      <c r="AC30"/>
    </row>
    <row r="31" spans="1:29" x14ac:dyDescent="0.35">
      <c r="A31" s="66"/>
      <c r="B31" s="59" t="s">
        <v>95</v>
      </c>
      <c r="C31" s="21"/>
      <c r="D31" s="3"/>
      <c r="E31" s="10"/>
      <c r="F31" s="23"/>
      <c r="AA31"/>
      <c r="AB31"/>
      <c r="AC31"/>
    </row>
    <row r="32" spans="1:29" x14ac:dyDescent="0.35">
      <c r="A32" s="3"/>
      <c r="B32" s="22" t="s">
        <v>407</v>
      </c>
      <c r="C32" s="19"/>
      <c r="D32" s="18"/>
      <c r="E32" s="8" t="s">
        <v>52</v>
      </c>
      <c r="F32" s="14" t="s">
        <v>62</v>
      </c>
      <c r="AA32"/>
      <c r="AB32"/>
      <c r="AC32"/>
    </row>
    <row r="33" spans="1:29" x14ac:dyDescent="0.35">
      <c r="A33" s="3"/>
      <c r="B33" s="22" t="s">
        <v>98</v>
      </c>
      <c r="C33" s="19"/>
      <c r="D33" s="18"/>
      <c r="E33" s="8"/>
      <c r="F33" s="14"/>
      <c r="AA33"/>
      <c r="AB33"/>
      <c r="AC33"/>
    </row>
    <row r="34" spans="1:29" x14ac:dyDescent="0.35">
      <c r="A34" s="3"/>
      <c r="B34" s="22" t="s">
        <v>99</v>
      </c>
      <c r="C34" s="19"/>
      <c r="D34" s="18"/>
      <c r="E34" s="8"/>
      <c r="F34" s="14"/>
      <c r="AA34"/>
      <c r="AB34"/>
      <c r="AC34"/>
    </row>
    <row r="35" spans="1:29" ht="29" x14ac:dyDescent="0.35">
      <c r="A35" s="3"/>
      <c r="B35" s="60" t="s">
        <v>412</v>
      </c>
      <c r="C35" s="19"/>
      <c r="D35" s="18"/>
      <c r="E35" s="8"/>
      <c r="F35" s="14"/>
      <c r="AA35"/>
      <c r="AB35"/>
      <c r="AC35"/>
    </row>
    <row r="36" spans="1:29" ht="7.5" customHeight="1" x14ac:dyDescent="0.35">
      <c r="A36" s="19"/>
      <c r="B36" s="53"/>
      <c r="C36" s="3"/>
      <c r="D36" s="3"/>
      <c r="E36" s="6"/>
      <c r="F36" s="6"/>
      <c r="G36"/>
      <c r="H36"/>
      <c r="I36"/>
      <c r="J36"/>
      <c r="K36"/>
      <c r="L36"/>
      <c r="M36"/>
      <c r="N36"/>
      <c r="O36"/>
      <c r="P36"/>
      <c r="Q36"/>
      <c r="R36"/>
      <c r="S36"/>
      <c r="T36"/>
      <c r="U36"/>
      <c r="V36"/>
      <c r="W36"/>
      <c r="X36"/>
      <c r="Y36"/>
      <c r="Z36"/>
      <c r="AA36"/>
      <c r="AB36"/>
      <c r="AC36"/>
    </row>
    <row r="37" spans="1:29" x14ac:dyDescent="0.35">
      <c r="A37" s="66"/>
      <c r="B37" s="59" t="s">
        <v>100</v>
      </c>
      <c r="C37" s="21"/>
      <c r="D37" s="3"/>
      <c r="E37" s="10"/>
      <c r="F37" s="23"/>
      <c r="AA37"/>
      <c r="AB37"/>
      <c r="AC37"/>
    </row>
    <row r="38" spans="1:29" x14ac:dyDescent="0.35">
      <c r="A38" s="66"/>
      <c r="B38" s="22" t="s">
        <v>407</v>
      </c>
      <c r="C38" s="21"/>
      <c r="D38" s="3"/>
      <c r="E38" s="10"/>
      <c r="F38" s="23"/>
      <c r="AA38"/>
      <c r="AB38"/>
      <c r="AC38"/>
    </row>
    <row r="39" spans="1:29" x14ac:dyDescent="0.35">
      <c r="A39" s="66"/>
      <c r="B39" s="22" t="s">
        <v>110</v>
      </c>
      <c r="C39" s="21"/>
      <c r="D39" s="3"/>
      <c r="E39" s="10"/>
      <c r="F39" s="23"/>
      <c r="AA39"/>
      <c r="AB39"/>
      <c r="AC39"/>
    </row>
    <row r="40" spans="1:29" x14ac:dyDescent="0.35">
      <c r="A40" s="66"/>
      <c r="B40" s="22" t="s">
        <v>101</v>
      </c>
      <c r="C40" s="21"/>
      <c r="D40" s="3"/>
      <c r="E40" s="10"/>
      <c r="F40" s="23"/>
      <c r="AA40"/>
      <c r="AB40"/>
      <c r="AC40"/>
    </row>
    <row r="41" spans="1:29" x14ac:dyDescent="0.35">
      <c r="A41" s="66"/>
      <c r="B41" s="22" t="s">
        <v>102</v>
      </c>
      <c r="C41" s="21"/>
      <c r="D41" s="3"/>
      <c r="E41" s="10"/>
      <c r="F41" s="23"/>
      <c r="AA41"/>
      <c r="AB41"/>
      <c r="AC41"/>
    </row>
    <row r="42" spans="1:29" ht="29" x14ac:dyDescent="0.35">
      <c r="A42" s="3"/>
      <c r="B42" s="60" t="s">
        <v>413</v>
      </c>
      <c r="C42" s="19"/>
      <c r="D42" s="18"/>
      <c r="E42" s="8"/>
      <c r="F42" s="14"/>
      <c r="AA42"/>
      <c r="AB42"/>
      <c r="AC42"/>
    </row>
    <row r="43" spans="1:29" x14ac:dyDescent="0.35">
      <c r="A43" s="52"/>
      <c r="B43" s="22"/>
      <c r="C43" s="21"/>
      <c r="D43" s="21"/>
      <c r="E43" s="6"/>
      <c r="F43" s="6"/>
      <c r="G43"/>
      <c r="H43"/>
      <c r="I43"/>
      <c r="J43"/>
      <c r="K43"/>
      <c r="L43"/>
      <c r="M43"/>
      <c r="N43"/>
      <c r="O43"/>
      <c r="P43"/>
      <c r="Q43"/>
      <c r="R43"/>
      <c r="S43"/>
      <c r="T43"/>
      <c r="U43"/>
      <c r="V43"/>
      <c r="W43"/>
      <c r="X43"/>
      <c r="Y43"/>
      <c r="Z43"/>
      <c r="AA43"/>
      <c r="AB43"/>
      <c r="AC43"/>
    </row>
    <row r="44" spans="1:29" x14ac:dyDescent="0.35">
      <c r="A44" s="52" t="s">
        <v>89</v>
      </c>
      <c r="B44" s="59"/>
      <c r="C44" s="21"/>
      <c r="D44" s="21"/>
      <c r="E44" s="6"/>
      <c r="F44" s="6"/>
      <c r="G44"/>
      <c r="H44"/>
      <c r="I44"/>
      <c r="J44"/>
      <c r="K44"/>
      <c r="L44"/>
      <c r="M44"/>
      <c r="N44"/>
      <c r="O44"/>
      <c r="P44"/>
      <c r="Q44"/>
      <c r="R44"/>
      <c r="S44"/>
      <c r="T44"/>
      <c r="U44"/>
      <c r="V44"/>
      <c r="W44"/>
      <c r="X44"/>
      <c r="Y44"/>
      <c r="Z44"/>
      <c r="AA44"/>
      <c r="AB44"/>
      <c r="AC44"/>
    </row>
    <row r="45" spans="1:29" x14ac:dyDescent="0.35">
      <c r="A45" s="21"/>
      <c r="B45" s="59" t="s">
        <v>153</v>
      </c>
      <c r="C45" s="21"/>
      <c r="D45" s="21"/>
      <c r="E45" s="6"/>
      <c r="F45" s="6"/>
      <c r="G45"/>
      <c r="H45"/>
      <c r="I45"/>
      <c r="J45"/>
      <c r="K45"/>
      <c r="L45"/>
      <c r="M45"/>
      <c r="N45"/>
      <c r="O45"/>
      <c r="P45"/>
      <c r="Q45"/>
      <c r="R45"/>
      <c r="S45"/>
      <c r="T45"/>
      <c r="U45"/>
      <c r="V45"/>
      <c r="W45"/>
      <c r="X45"/>
      <c r="Y45"/>
      <c r="Z45"/>
      <c r="AA45"/>
      <c r="AB45"/>
      <c r="AC45"/>
    </row>
    <row r="46" spans="1:29" x14ac:dyDescent="0.35">
      <c r="A46" s="66"/>
      <c r="B46" s="22" t="s">
        <v>407</v>
      </c>
      <c r="C46" s="19"/>
      <c r="D46" s="2"/>
      <c r="E46" s="8" t="s">
        <v>52</v>
      </c>
      <c r="F46" s="24" t="s">
        <v>53</v>
      </c>
      <c r="G46"/>
      <c r="H46"/>
      <c r="I46"/>
      <c r="J46"/>
      <c r="K46"/>
      <c r="L46"/>
      <c r="M46"/>
      <c r="N46"/>
      <c r="O46"/>
      <c r="P46"/>
      <c r="Q46"/>
      <c r="R46"/>
      <c r="S46"/>
      <c r="T46"/>
      <c r="U46"/>
      <c r="V46"/>
      <c r="W46"/>
      <c r="X46"/>
      <c r="Y46"/>
      <c r="Z46"/>
      <c r="AA46"/>
      <c r="AB46"/>
      <c r="AC46"/>
    </row>
    <row r="47" spans="1:29" x14ac:dyDescent="0.35">
      <c r="A47" s="66"/>
      <c r="B47" s="60" t="s">
        <v>154</v>
      </c>
      <c r="C47" s="23"/>
      <c r="D47" s="2" t="s">
        <v>54</v>
      </c>
      <c r="E47" s="9" t="s">
        <v>55</v>
      </c>
      <c r="F47" s="23" t="s">
        <v>56</v>
      </c>
      <c r="G47"/>
      <c r="H47"/>
      <c r="I47"/>
      <c r="J47"/>
      <c r="K47"/>
      <c r="L47"/>
      <c r="M47"/>
      <c r="N47"/>
      <c r="O47"/>
      <c r="P47"/>
      <c r="Q47"/>
      <c r="R47"/>
      <c r="S47"/>
      <c r="T47"/>
      <c r="U47"/>
      <c r="V47"/>
      <c r="W47"/>
      <c r="X47"/>
      <c r="Y47"/>
      <c r="Z47"/>
      <c r="AA47"/>
      <c r="AB47"/>
      <c r="AC47"/>
    </row>
    <row r="48" spans="1:29" ht="7.5" customHeight="1" x14ac:dyDescent="0.35">
      <c r="A48" s="19"/>
      <c r="B48" s="53"/>
      <c r="C48" s="3"/>
      <c r="D48" s="3"/>
      <c r="E48" s="6" t="s">
        <v>57</v>
      </c>
      <c r="F48" s="6" t="s">
        <v>58</v>
      </c>
      <c r="G48"/>
      <c r="H48"/>
      <c r="I48"/>
      <c r="J48"/>
      <c r="K48"/>
      <c r="L48"/>
      <c r="M48"/>
      <c r="N48"/>
      <c r="O48"/>
      <c r="P48"/>
      <c r="Q48"/>
      <c r="R48"/>
      <c r="S48"/>
      <c r="T48"/>
      <c r="U48"/>
      <c r="V48"/>
      <c r="W48"/>
      <c r="X48"/>
      <c r="Y48"/>
      <c r="Z48"/>
      <c r="AA48"/>
      <c r="AB48"/>
      <c r="AC48"/>
    </row>
    <row r="49" spans="1:29" hidden="1" x14ac:dyDescent="0.35">
      <c r="A49" s="21"/>
      <c r="B49" s="59" t="s">
        <v>51</v>
      </c>
      <c r="C49" s="21"/>
      <c r="D49" s="21"/>
      <c r="E49" s="6"/>
      <c r="F49" s="6"/>
      <c r="G49"/>
      <c r="H49"/>
      <c r="I49"/>
      <c r="J49"/>
      <c r="K49"/>
      <c r="L49"/>
      <c r="M49"/>
      <c r="N49"/>
      <c r="O49"/>
      <c r="P49"/>
      <c r="Q49"/>
      <c r="R49"/>
      <c r="S49"/>
      <c r="T49"/>
      <c r="U49"/>
      <c r="V49"/>
      <c r="W49"/>
      <c r="X49"/>
      <c r="Y49"/>
      <c r="Z49"/>
      <c r="AA49"/>
      <c r="AB49"/>
      <c r="AC49"/>
    </row>
    <row r="50" spans="1:29" hidden="1" x14ac:dyDescent="0.35">
      <c r="A50" s="66"/>
      <c r="B50" s="22" t="s">
        <v>155</v>
      </c>
      <c r="C50" s="19"/>
      <c r="D50" s="2"/>
      <c r="E50" s="8" t="s">
        <v>52</v>
      </c>
      <c r="F50" s="24" t="s">
        <v>53</v>
      </c>
      <c r="G50"/>
      <c r="H50"/>
      <c r="I50"/>
      <c r="J50"/>
      <c r="K50"/>
      <c r="L50"/>
      <c r="M50"/>
      <c r="N50"/>
      <c r="O50"/>
      <c r="P50"/>
      <c r="Q50"/>
      <c r="R50"/>
      <c r="S50"/>
      <c r="T50"/>
      <c r="U50"/>
      <c r="V50"/>
      <c r="W50"/>
      <c r="X50"/>
      <c r="Y50"/>
      <c r="Z50"/>
      <c r="AA50"/>
      <c r="AB50"/>
      <c r="AC50"/>
    </row>
    <row r="51" spans="1:29" hidden="1" x14ac:dyDescent="0.35">
      <c r="A51" s="66"/>
      <c r="B51" s="60" t="s">
        <v>111</v>
      </c>
      <c r="C51" s="23"/>
      <c r="D51" s="2" t="s">
        <v>54</v>
      </c>
      <c r="E51" s="9" t="s">
        <v>55</v>
      </c>
      <c r="F51" s="23" t="s">
        <v>56</v>
      </c>
      <c r="G51"/>
      <c r="H51"/>
      <c r="I51"/>
      <c r="J51"/>
      <c r="K51"/>
      <c r="L51"/>
      <c r="M51"/>
      <c r="N51"/>
      <c r="O51"/>
      <c r="P51"/>
      <c r="Q51"/>
      <c r="R51"/>
      <c r="S51"/>
      <c r="T51"/>
      <c r="U51"/>
      <c r="V51"/>
      <c r="W51"/>
      <c r="X51"/>
      <c r="Y51"/>
      <c r="Z51"/>
      <c r="AA51"/>
      <c r="AB51"/>
      <c r="AC51"/>
    </row>
    <row r="52" spans="1:29" ht="7.5" hidden="1" customHeight="1" x14ac:dyDescent="0.35">
      <c r="A52" s="19"/>
      <c r="B52" s="53"/>
      <c r="C52" s="3"/>
      <c r="D52" s="3"/>
      <c r="E52" s="6" t="s">
        <v>57</v>
      </c>
      <c r="F52" s="6" t="s">
        <v>58</v>
      </c>
      <c r="G52"/>
      <c r="H52"/>
      <c r="I52"/>
      <c r="J52"/>
      <c r="K52"/>
      <c r="L52"/>
      <c r="M52"/>
      <c r="N52"/>
      <c r="O52"/>
      <c r="P52"/>
      <c r="Q52"/>
      <c r="R52"/>
      <c r="S52"/>
      <c r="T52"/>
      <c r="U52"/>
      <c r="V52"/>
      <c r="W52"/>
      <c r="X52"/>
      <c r="Y52"/>
      <c r="Z52"/>
      <c r="AA52"/>
      <c r="AB52"/>
      <c r="AC52"/>
    </row>
    <row r="53" spans="1:29" x14ac:dyDescent="0.35">
      <c r="A53" s="11"/>
      <c r="B53" s="61" t="s">
        <v>103</v>
      </c>
      <c r="C53" s="11"/>
      <c r="D53" s="21"/>
      <c r="E53" s="6"/>
      <c r="F53" s="6"/>
      <c r="G53"/>
      <c r="H53"/>
      <c r="I53"/>
      <c r="J53"/>
      <c r="K53"/>
      <c r="L53"/>
      <c r="M53"/>
      <c r="N53"/>
      <c r="O53"/>
      <c r="P53"/>
      <c r="Q53"/>
      <c r="R53"/>
      <c r="S53"/>
      <c r="T53"/>
      <c r="U53"/>
      <c r="V53"/>
      <c r="W53"/>
      <c r="X53"/>
      <c r="Y53"/>
      <c r="Z53"/>
      <c r="AA53"/>
      <c r="AB53"/>
      <c r="AC53"/>
    </row>
    <row r="54" spans="1:29" x14ac:dyDescent="0.35">
      <c r="A54" s="66"/>
      <c r="B54" s="22" t="s">
        <v>408</v>
      </c>
      <c r="C54" s="19"/>
      <c r="D54" s="2"/>
      <c r="E54" s="8" t="s">
        <v>52</v>
      </c>
      <c r="F54" s="24" t="s">
        <v>59</v>
      </c>
      <c r="G54"/>
      <c r="H54"/>
      <c r="I54"/>
      <c r="J54"/>
      <c r="K54"/>
      <c r="L54"/>
      <c r="M54"/>
      <c r="N54"/>
      <c r="O54"/>
      <c r="P54"/>
      <c r="Q54"/>
      <c r="R54"/>
      <c r="S54"/>
      <c r="T54"/>
      <c r="U54"/>
      <c r="V54"/>
      <c r="W54"/>
      <c r="X54"/>
      <c r="Y54"/>
      <c r="Z54"/>
      <c r="AA54"/>
      <c r="AB54"/>
      <c r="AC54"/>
    </row>
    <row r="55" spans="1:29" ht="15" customHeight="1" x14ac:dyDescent="0.35">
      <c r="A55" s="66"/>
      <c r="B55" s="60" t="s">
        <v>104</v>
      </c>
      <c r="C55" s="23"/>
      <c r="D55" s="2" t="s">
        <v>60</v>
      </c>
      <c r="E55" s="9" t="s">
        <v>55</v>
      </c>
      <c r="F55" s="23" t="s">
        <v>61</v>
      </c>
      <c r="G55"/>
      <c r="H55"/>
      <c r="I55"/>
      <c r="J55"/>
      <c r="K55"/>
      <c r="L55"/>
      <c r="M55"/>
      <c r="N55"/>
      <c r="O55"/>
      <c r="P55"/>
      <c r="Q55"/>
      <c r="R55"/>
      <c r="S55"/>
      <c r="T55"/>
      <c r="U55"/>
      <c r="V55"/>
      <c r="W55"/>
      <c r="X55"/>
      <c r="Y55"/>
      <c r="Z55"/>
      <c r="AA55"/>
      <c r="AB55"/>
      <c r="AC55"/>
    </row>
    <row r="56" spans="1:29" x14ac:dyDescent="0.35">
      <c r="A56" s="19"/>
      <c r="B56" s="22" t="s">
        <v>105</v>
      </c>
      <c r="C56" s="3"/>
      <c r="D56" s="3"/>
      <c r="E56" s="6"/>
      <c r="F56" s="6"/>
      <c r="AA56"/>
      <c r="AB56"/>
      <c r="AC56"/>
    </row>
    <row r="57" spans="1:29" ht="3" customHeight="1" x14ac:dyDescent="0.35">
      <c r="A57" s="52"/>
      <c r="B57" s="22"/>
      <c r="C57" s="21"/>
      <c r="D57" s="21"/>
      <c r="E57" s="6"/>
      <c r="F57" s="6"/>
      <c r="G57"/>
      <c r="H57"/>
      <c r="I57"/>
      <c r="J57"/>
      <c r="K57"/>
      <c r="L57"/>
      <c r="M57"/>
      <c r="N57"/>
      <c r="O57"/>
      <c r="P57"/>
      <c r="Q57"/>
      <c r="R57"/>
      <c r="S57"/>
      <c r="T57"/>
      <c r="U57"/>
      <c r="V57"/>
      <c r="W57"/>
      <c r="X57"/>
      <c r="Y57"/>
      <c r="Z57"/>
      <c r="AA57"/>
      <c r="AB57"/>
      <c r="AC57"/>
    </row>
    <row r="58" spans="1:29" x14ac:dyDescent="0.35">
      <c r="A58" s="52" t="s">
        <v>107</v>
      </c>
      <c r="B58" s="59"/>
      <c r="C58" s="21"/>
      <c r="D58" s="21"/>
      <c r="E58" s="6"/>
      <c r="F58" s="6"/>
      <c r="G58"/>
      <c r="H58"/>
      <c r="I58"/>
      <c r="J58"/>
      <c r="K58"/>
      <c r="L58"/>
      <c r="M58"/>
      <c r="N58"/>
      <c r="O58"/>
      <c r="P58"/>
      <c r="Q58"/>
      <c r="R58"/>
      <c r="S58"/>
      <c r="T58"/>
      <c r="U58"/>
      <c r="V58"/>
      <c r="W58"/>
      <c r="X58"/>
      <c r="Y58"/>
      <c r="Z58"/>
      <c r="AA58"/>
      <c r="AB58"/>
      <c r="AC58"/>
    </row>
    <row r="59" spans="1:29" x14ac:dyDescent="0.35">
      <c r="A59" s="52"/>
      <c r="B59" s="22" t="s">
        <v>414</v>
      </c>
      <c r="C59" s="21"/>
      <c r="D59" s="21"/>
      <c r="E59" s="6"/>
      <c r="F59" s="6"/>
      <c r="G59"/>
      <c r="H59"/>
      <c r="I59"/>
      <c r="J59"/>
      <c r="K59"/>
      <c r="L59"/>
      <c r="M59"/>
      <c r="N59"/>
      <c r="O59"/>
      <c r="P59"/>
      <c r="Q59"/>
      <c r="R59"/>
      <c r="S59"/>
      <c r="T59"/>
      <c r="U59"/>
      <c r="V59"/>
      <c r="W59"/>
      <c r="X59"/>
      <c r="Y59"/>
      <c r="Z59"/>
      <c r="AA59"/>
      <c r="AB59"/>
      <c r="AC59"/>
    </row>
    <row r="60" spans="1:29" x14ac:dyDescent="0.35">
      <c r="A60" s="52"/>
      <c r="B60" s="22" t="s">
        <v>112</v>
      </c>
      <c r="C60" s="21"/>
      <c r="D60" s="21"/>
      <c r="E60" s="6"/>
      <c r="F60" s="6"/>
      <c r="G60"/>
      <c r="H60"/>
      <c r="I60"/>
      <c r="J60"/>
      <c r="K60"/>
      <c r="L60"/>
      <c r="M60"/>
      <c r="N60"/>
      <c r="O60"/>
      <c r="P60"/>
      <c r="Q60"/>
      <c r="R60"/>
      <c r="S60"/>
      <c r="T60"/>
      <c r="U60"/>
      <c r="V60"/>
      <c r="W60"/>
      <c r="X60"/>
      <c r="Y60"/>
      <c r="Z60"/>
      <c r="AA60"/>
      <c r="AB60"/>
      <c r="AC60"/>
    </row>
    <row r="61" spans="1:29" x14ac:dyDescent="0.35">
      <c r="A61" s="52"/>
      <c r="B61" s="22" t="s">
        <v>108</v>
      </c>
      <c r="C61" s="21"/>
      <c r="D61" s="21"/>
      <c r="E61" s="6"/>
      <c r="F61" s="6"/>
      <c r="G61"/>
      <c r="H61"/>
      <c r="I61"/>
      <c r="J61"/>
      <c r="K61"/>
      <c r="L61"/>
      <c r="M61"/>
      <c r="N61"/>
      <c r="O61"/>
      <c r="P61"/>
      <c r="Q61"/>
      <c r="R61"/>
      <c r="S61"/>
      <c r="T61"/>
      <c r="U61"/>
      <c r="V61"/>
      <c r="W61"/>
      <c r="X61"/>
      <c r="Y61"/>
      <c r="Z61"/>
      <c r="AA61"/>
      <c r="AB61"/>
      <c r="AC61"/>
    </row>
    <row r="62" spans="1:29" x14ac:dyDescent="0.35">
      <c r="A62" s="52"/>
      <c r="B62" s="65" t="s">
        <v>165</v>
      </c>
      <c r="C62" s="21"/>
      <c r="D62" s="21"/>
      <c r="E62" s="6"/>
      <c r="F62" s="6"/>
      <c r="G62"/>
      <c r="H62"/>
      <c r="I62"/>
      <c r="J62"/>
      <c r="K62"/>
      <c r="L62"/>
      <c r="M62"/>
      <c r="N62"/>
      <c r="O62"/>
      <c r="P62"/>
      <c r="Q62"/>
      <c r="R62"/>
      <c r="S62"/>
      <c r="T62"/>
      <c r="U62"/>
      <c r="V62"/>
      <c r="W62"/>
      <c r="X62"/>
      <c r="Y62"/>
      <c r="Z62"/>
      <c r="AA62"/>
      <c r="AB62"/>
      <c r="AC62"/>
    </row>
    <row r="63" spans="1:29" x14ac:dyDescent="0.35">
      <c r="A63" s="52"/>
      <c r="B63" s="22" t="s">
        <v>162</v>
      </c>
      <c r="C63" s="21"/>
      <c r="D63" s="21"/>
      <c r="E63" s="6"/>
      <c r="F63" s="6"/>
      <c r="G63"/>
      <c r="H63"/>
      <c r="I63"/>
      <c r="J63"/>
      <c r="K63"/>
      <c r="L63"/>
      <c r="M63"/>
      <c r="N63"/>
      <c r="O63"/>
      <c r="P63"/>
      <c r="Q63"/>
      <c r="R63"/>
      <c r="S63"/>
      <c r="T63"/>
      <c r="U63"/>
      <c r="V63"/>
      <c r="W63"/>
      <c r="X63"/>
      <c r="Y63"/>
      <c r="Z63"/>
      <c r="AA63"/>
      <c r="AB63"/>
      <c r="AC63"/>
    </row>
    <row r="64" spans="1:29" x14ac:dyDescent="0.35">
      <c r="A64" s="52"/>
      <c r="B64" s="22" t="s">
        <v>109</v>
      </c>
      <c r="C64" s="21"/>
      <c r="D64" s="21"/>
      <c r="E64" s="6"/>
      <c r="F64" s="6"/>
      <c r="G64"/>
      <c r="H64"/>
      <c r="I64"/>
      <c r="J64"/>
      <c r="K64"/>
      <c r="L64"/>
      <c r="M64"/>
      <c r="N64"/>
      <c r="O64"/>
      <c r="P64"/>
      <c r="Q64"/>
      <c r="R64"/>
      <c r="S64"/>
      <c r="T64"/>
      <c r="U64"/>
      <c r="V64"/>
      <c r="W64"/>
      <c r="X64"/>
      <c r="Y64"/>
      <c r="Z64"/>
      <c r="AA64"/>
      <c r="AB64"/>
      <c r="AC64"/>
    </row>
    <row r="65" spans="1:29" ht="29" x14ac:dyDescent="0.35">
      <c r="A65" s="52"/>
      <c r="B65" s="64" t="s">
        <v>163</v>
      </c>
      <c r="C65" s="21"/>
      <c r="D65" s="21"/>
      <c r="E65" s="6"/>
      <c r="F65" s="6"/>
      <c r="G65"/>
      <c r="H65"/>
      <c r="I65"/>
      <c r="J65"/>
      <c r="K65"/>
      <c r="L65"/>
      <c r="M65"/>
      <c r="N65"/>
      <c r="O65"/>
      <c r="P65"/>
      <c r="Q65"/>
      <c r="R65"/>
      <c r="S65"/>
      <c r="T65"/>
      <c r="U65"/>
      <c r="V65"/>
      <c r="W65"/>
      <c r="X65"/>
      <c r="Y65"/>
      <c r="Z65"/>
      <c r="AA65"/>
      <c r="AB65"/>
      <c r="AC65"/>
    </row>
    <row r="66" spans="1:29" x14ac:dyDescent="0.35">
      <c r="A66" s="52"/>
      <c r="B66" s="65" t="s">
        <v>164</v>
      </c>
      <c r="C66" s="21"/>
      <c r="D66" s="21"/>
      <c r="E66" s="6"/>
      <c r="F66" s="6"/>
      <c r="G66"/>
      <c r="H66"/>
      <c r="I66"/>
      <c r="J66"/>
      <c r="K66"/>
      <c r="L66"/>
      <c r="M66"/>
      <c r="N66"/>
      <c r="O66"/>
      <c r="P66"/>
      <c r="Q66"/>
      <c r="R66"/>
      <c r="S66"/>
      <c r="T66"/>
      <c r="U66"/>
      <c r="V66"/>
      <c r="W66"/>
      <c r="X66"/>
      <c r="Y66"/>
      <c r="Z66"/>
      <c r="AA66"/>
      <c r="AB66"/>
      <c r="AC66"/>
    </row>
    <row r="67" spans="1:29" x14ac:dyDescent="0.35">
      <c r="A67" s="52"/>
      <c r="B67" s="22"/>
      <c r="C67" s="21"/>
      <c r="D67" s="21"/>
      <c r="E67" s="6"/>
      <c r="F67" s="6"/>
      <c r="G67"/>
      <c r="H67"/>
      <c r="I67"/>
      <c r="J67"/>
      <c r="K67"/>
      <c r="L67"/>
      <c r="M67"/>
      <c r="N67"/>
      <c r="O67"/>
      <c r="P67"/>
      <c r="Q67"/>
      <c r="R67"/>
      <c r="S67"/>
      <c r="T67"/>
      <c r="U67"/>
      <c r="V67"/>
      <c r="W67"/>
      <c r="X67"/>
      <c r="Y67"/>
      <c r="Z67"/>
      <c r="AA67"/>
      <c r="AB67"/>
      <c r="AC67"/>
    </row>
    <row r="68" spans="1:29" x14ac:dyDescent="0.35">
      <c r="A68" s="21" t="s">
        <v>63</v>
      </c>
      <c r="B68" s="58"/>
      <c r="C68" s="21"/>
      <c r="D68" s="21"/>
      <c r="E68" s="6"/>
      <c r="F68" s="6"/>
      <c r="AA68"/>
      <c r="AB68"/>
      <c r="AC68"/>
    </row>
    <row r="69" spans="1:29" x14ac:dyDescent="0.35">
      <c r="A69" s="3"/>
      <c r="B69" s="22" t="s">
        <v>416</v>
      </c>
      <c r="C69" s="19"/>
      <c r="D69" s="2"/>
      <c r="E69" s="8" t="s">
        <v>52</v>
      </c>
      <c r="F69" s="12" t="s">
        <v>64</v>
      </c>
      <c r="AA69"/>
      <c r="AB69"/>
      <c r="AC69"/>
    </row>
    <row r="70" spans="1:29" x14ac:dyDescent="0.35">
      <c r="A70" s="3"/>
      <c r="B70" s="22" t="s">
        <v>175</v>
      </c>
      <c r="C70" s="19"/>
      <c r="D70" s="2"/>
      <c r="E70" s="8"/>
      <c r="F70" s="12"/>
      <c r="AA70"/>
      <c r="AB70"/>
      <c r="AC70"/>
    </row>
    <row r="71" spans="1:29" ht="29" x14ac:dyDescent="0.35">
      <c r="A71" s="1"/>
      <c r="B71" s="64" t="s">
        <v>169</v>
      </c>
      <c r="E71"/>
      <c r="F71"/>
    </row>
    <row r="72" spans="1:29" x14ac:dyDescent="0.35">
      <c r="A72" s="53"/>
      <c r="B72" s="22" t="s">
        <v>106</v>
      </c>
      <c r="C72" s="22"/>
      <c r="D72" s="2" t="s">
        <v>65</v>
      </c>
      <c r="E72" s="9" t="s">
        <v>55</v>
      </c>
      <c r="F72" s="23" t="s">
        <v>66</v>
      </c>
      <c r="AA72"/>
      <c r="AB72"/>
      <c r="AC72"/>
    </row>
    <row r="73" spans="1:29" x14ac:dyDescent="0.35">
      <c r="A73" s="3"/>
      <c r="B73" s="22" t="s">
        <v>176</v>
      </c>
      <c r="C73" s="19"/>
      <c r="D73" s="2"/>
      <c r="E73" s="8"/>
      <c r="F73" s="12"/>
      <c r="AA73"/>
      <c r="AB73"/>
      <c r="AC73"/>
    </row>
    <row r="74" spans="1:29" x14ac:dyDescent="0.35">
      <c r="A74" s="3"/>
      <c r="B74" s="64" t="s">
        <v>168</v>
      </c>
      <c r="C74" s="19"/>
      <c r="D74" s="2"/>
      <c r="E74" s="8"/>
      <c r="F74" s="12"/>
      <c r="AA74"/>
      <c r="AB74"/>
      <c r="AC74"/>
    </row>
    <row r="75" spans="1:29" x14ac:dyDescent="0.35">
      <c r="A75" s="66"/>
    </row>
    <row r="76" spans="1:29" x14ac:dyDescent="0.35">
      <c r="A76" s="21" t="s">
        <v>214</v>
      </c>
      <c r="B76" s="58"/>
      <c r="C76" s="21"/>
      <c r="D76" s="21"/>
      <c r="E76" s="6"/>
      <c r="F76" s="6"/>
      <c r="AA76"/>
      <c r="AB76"/>
      <c r="AC76"/>
    </row>
    <row r="77" spans="1:29" x14ac:dyDescent="0.35">
      <c r="A77" s="3"/>
      <c r="B77" s="22" t="s">
        <v>415</v>
      </c>
      <c r="C77" s="19"/>
      <c r="D77" s="2"/>
      <c r="E77" s="8" t="s">
        <v>52</v>
      </c>
      <c r="F77" s="12" t="s">
        <v>64</v>
      </c>
      <c r="AA77"/>
      <c r="AB77"/>
      <c r="AC77"/>
    </row>
    <row r="78" spans="1:29" x14ac:dyDescent="0.35">
      <c r="A78" s="3"/>
      <c r="B78" s="22" t="s">
        <v>313</v>
      </c>
      <c r="C78" s="19"/>
      <c r="D78" s="2"/>
      <c r="E78" s="8"/>
      <c r="F78" s="12"/>
      <c r="AA78"/>
      <c r="AB78"/>
      <c r="AC78"/>
    </row>
    <row r="79" spans="1:29" ht="29" x14ac:dyDescent="0.35">
      <c r="A79" s="1"/>
      <c r="B79" s="64" t="s">
        <v>314</v>
      </c>
      <c r="E79"/>
      <c r="F79"/>
    </row>
    <row r="80" spans="1:29" x14ac:dyDescent="0.35">
      <c r="A80" s="1"/>
      <c r="B80" s="60" t="s">
        <v>319</v>
      </c>
      <c r="E80"/>
      <c r="F80"/>
    </row>
    <row r="81" spans="1:29" x14ac:dyDescent="0.35">
      <c r="A81" s="1"/>
      <c r="B81" s="60" t="s">
        <v>316</v>
      </c>
      <c r="E81"/>
      <c r="F81"/>
    </row>
    <row r="82" spans="1:29" x14ac:dyDescent="0.35">
      <c r="A82" s="1"/>
      <c r="B82" s="60" t="s">
        <v>317</v>
      </c>
      <c r="E82"/>
      <c r="F82"/>
    </row>
    <row r="83" spans="1:29" x14ac:dyDescent="0.35">
      <c r="A83" s="3"/>
      <c r="B83" s="64" t="s">
        <v>315</v>
      </c>
      <c r="C83" s="19"/>
      <c r="D83" s="2"/>
      <c r="E83" s="8"/>
      <c r="F83" s="12"/>
      <c r="AA83"/>
      <c r="AB83"/>
      <c r="AC83"/>
    </row>
    <row r="84" spans="1:29" x14ac:dyDescent="0.35">
      <c r="A84" s="1"/>
      <c r="B84" s="60" t="s">
        <v>318</v>
      </c>
      <c r="E84"/>
      <c r="F84"/>
    </row>
    <row r="85" spans="1:29" x14ac:dyDescent="0.35">
      <c r="A85" s="1"/>
      <c r="B85" s="60" t="s">
        <v>320</v>
      </c>
      <c r="E85"/>
      <c r="F85"/>
    </row>
    <row r="86" spans="1:29" x14ac:dyDescent="0.35">
      <c r="A86" s="66"/>
    </row>
    <row r="87" spans="1:29" x14ac:dyDescent="0.35">
      <c r="A87" s="21" t="s">
        <v>180</v>
      </c>
      <c r="B87" s="58"/>
    </row>
    <row r="88" spans="1:29" x14ac:dyDescent="0.35">
      <c r="A88" s="66"/>
      <c r="B88" s="58"/>
    </row>
    <row r="89" spans="1:29" x14ac:dyDescent="0.35">
      <c r="A89" s="66"/>
      <c r="B89" s="58"/>
    </row>
    <row r="90" spans="1:29" x14ac:dyDescent="0.35">
      <c r="A90" s="66"/>
      <c r="B90" s="58"/>
    </row>
    <row r="91" spans="1:29" x14ac:dyDescent="0.35">
      <c r="A91" s="66"/>
      <c r="B91" s="58"/>
    </row>
  </sheetData>
  <mergeCells count="1">
    <mergeCell ref="A1:F1"/>
  </mergeCells>
  <printOptions horizontalCentered="1"/>
  <pageMargins left="0" right="0" top="0.25" bottom="0" header="0" footer="0"/>
  <pageSetup scale="99" fitToHeight="0" orientation="portrait"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sheetPr>
  <dimension ref="B1:H9"/>
  <sheetViews>
    <sheetView showGridLines="0" zoomScaleNormal="100" workbookViewId="0">
      <selection activeCell="D5" sqref="D5:E5"/>
    </sheetView>
  </sheetViews>
  <sheetFormatPr defaultColWidth="9.1796875" defaultRowHeight="30" customHeight="1" x14ac:dyDescent="0.35"/>
  <cols>
    <col min="1" max="1" width="1.81640625" style="171" customWidth="1"/>
    <col min="2" max="2" width="4.81640625" style="171" customWidth="1"/>
    <col min="3" max="3" width="27.26953125" style="171" customWidth="1"/>
    <col min="4" max="4" width="4.453125" style="171" customWidth="1"/>
    <col min="5" max="6" width="20.54296875" style="171" customWidth="1"/>
    <col min="7" max="8" width="9.1796875" style="171"/>
    <col min="9" max="9" width="1.81640625" style="171" customWidth="1"/>
    <col min="10" max="16384" width="9.1796875" style="171"/>
  </cols>
  <sheetData>
    <row r="1" spans="2:8" ht="8.25" customHeight="1" x14ac:dyDescent="0.35">
      <c r="B1" s="414" t="s">
        <v>228</v>
      </c>
      <c r="C1" s="414"/>
      <c r="D1" s="414"/>
      <c r="E1" s="414"/>
      <c r="F1" s="414"/>
      <c r="G1" s="414"/>
      <c r="H1" s="414"/>
    </row>
    <row r="2" spans="2:8" ht="38.25" customHeight="1" x14ac:dyDescent="0.35">
      <c r="B2" s="414"/>
      <c r="C2" s="414"/>
      <c r="D2" s="414"/>
      <c r="E2" s="414"/>
      <c r="F2" s="414"/>
      <c r="G2" s="414"/>
      <c r="H2" s="414"/>
    </row>
    <row r="3" spans="2:8" ht="25.5" customHeight="1" x14ac:dyDescent="0.35">
      <c r="B3" s="415" t="s">
        <v>229</v>
      </c>
      <c r="C3" s="415"/>
      <c r="D3" s="415"/>
      <c r="E3" s="415"/>
      <c r="F3" s="415"/>
      <c r="G3" s="415"/>
      <c r="H3" s="415"/>
    </row>
    <row r="4" spans="2:8" ht="30" customHeight="1" thickBot="1" x14ac:dyDescent="0.4">
      <c r="B4" s="416" t="s">
        <v>230</v>
      </c>
      <c r="C4" s="416"/>
      <c r="D4" s="416"/>
    </row>
    <row r="5" spans="2:8" s="197" customFormat="1" ht="30" customHeight="1" x14ac:dyDescent="0.35">
      <c r="B5" s="194">
        <v>1</v>
      </c>
      <c r="C5" s="195" t="s">
        <v>256</v>
      </c>
      <c r="D5" s="196" t="str">
        <f>IF(ISBLANK(C5),"← Please select a value from drop-down",IF(COUNTIF($C$5:C5,C5)&gt;1,"You have selected "&amp;C5&amp;" twice.",""))</f>
        <v/>
      </c>
      <c r="G5" s="171"/>
    </row>
    <row r="6" spans="2:8" s="197" customFormat="1" ht="30" customHeight="1" x14ac:dyDescent="0.35">
      <c r="B6" s="198">
        <v>2</v>
      </c>
      <c r="C6" s="199" t="s">
        <v>297</v>
      </c>
      <c r="D6" s="196" t="str">
        <f>IF(ISBLANK(C6),"← Please select a value from drop-down",IF(COUNTIF($C$5:C6,C6)&gt;1,"You have selected "&amp;C6&amp;" twice.",""))</f>
        <v/>
      </c>
      <c r="G6" s="171"/>
    </row>
    <row r="7" spans="2:8" s="197" customFormat="1" ht="30" customHeight="1" x14ac:dyDescent="0.35">
      <c r="B7" s="198">
        <v>3</v>
      </c>
      <c r="C7" s="200" t="s">
        <v>324</v>
      </c>
      <c r="D7" s="196" t="str">
        <f>IF(ISBLANK(C7),"← Please select a value from drop-down",IF(COUNTIF($C$5:C7,C7)&gt;1,"You have selected "&amp;C7&amp;" twice.",""))</f>
        <v/>
      </c>
      <c r="G7" s="171"/>
    </row>
    <row r="8" spans="2:8" s="197" customFormat="1" ht="30" customHeight="1" x14ac:dyDescent="0.35">
      <c r="B8" s="198">
        <v>4</v>
      </c>
      <c r="C8" s="200" t="s">
        <v>329</v>
      </c>
      <c r="D8" s="196" t="str">
        <f>IF(ISBLANK(C8),"← Please select a value from drop-down",IF(COUNTIF($C$5:C8,C8)&gt;1,"You have selected "&amp;C8&amp;" twice.",""))</f>
        <v/>
      </c>
    </row>
    <row r="9" spans="2:8" s="197" customFormat="1" ht="30" customHeight="1" thickBot="1" x14ac:dyDescent="0.4">
      <c r="B9" s="201">
        <v>5</v>
      </c>
      <c r="C9" s="202" t="s">
        <v>295</v>
      </c>
      <c r="D9" s="196" t="str">
        <f>IF(ISBLANK(C9),"← Please select a value from drop-down",IF(COUNTIF($C$5:C9,C9)&gt;1,"You have selected "&amp;C9&amp;" twice.",""))</f>
        <v/>
      </c>
    </row>
  </sheetData>
  <sheetProtection selectLockedCells="1"/>
  <mergeCells count="3">
    <mergeCell ref="B1:H2"/>
    <mergeCell ref="B3:H3"/>
    <mergeCell ref="B4:D4"/>
  </mergeCells>
  <conditionalFormatting sqref="B5:C9">
    <cfRule type="expression" dxfId="230" priority="1">
      <formula>MOD(ROW(),2)</formula>
    </cfRule>
  </conditionalFormatting>
  <dataValidations count="4">
    <dataValidation type="list" errorStyle="warning" allowBlank="1" showInputMessage="1" showErrorMessage="1" error="Select Key Metric from the list. Select CANCEL, press ALT+DOWN ARROW for options, then DOWN ARROW and ENTER to make selection" prompt="Select Key Metric in this cell. Press ALT+DOWN ARROW for options, then DOWN ARROW and ENTER to make selection" sqref="C5:C9">
      <formula1>lstMetrics</formula1>
    </dataValidation>
    <dataValidation allowBlank="1" showInputMessage="1" showErrorMessage="1" prompt="Navigation link to Financial Report worksheet. Select Key Metrics in cells below, cells C5 through C9" sqref="B4:D4"/>
    <dataValidation allowBlank="1" showInputMessage="1" showErrorMessage="1" prompt="Title of this worksheet is in this cell and tip in cell below" sqref="B1:H2"/>
    <dataValidation allowBlank="1" showInputMessage="1" showErrorMessage="1" prompt="Select Key Metrics to be shown at the top of the annual financial report in this worksheet. Select cell B4 to navigate to Financial Report worksheet" sqref="A1"/>
  </dataValidations>
  <hyperlinks>
    <hyperlink ref="B4:C4" location="'Financial Report'!A1" tooltip="View financial report" display="  Click to view Financial Report"/>
    <hyperlink ref="B4:D4" location="'Financial Report'!A1" tooltip="Select to navigate to Financial Report worksheet" display="  Tap to view Financial Report"/>
  </hyperlinks>
  <pageMargins left="0.7" right="0.7" top="0.75" bottom="0.75" header="0.3" footer="0.3"/>
  <pageSetup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opLeftCell="A29" workbookViewId="0">
      <selection activeCell="D5" sqref="D5:E5"/>
    </sheetView>
  </sheetViews>
  <sheetFormatPr defaultColWidth="9.1796875" defaultRowHeight="14" x14ac:dyDescent="0.35"/>
  <cols>
    <col min="1" max="1" width="9.26953125" style="171" bestFit="1" customWidth="1"/>
    <col min="2" max="2" width="60.26953125" style="171" customWidth="1"/>
    <col min="3" max="7" width="10.7265625" style="171" bestFit="1" customWidth="1"/>
    <col min="8" max="9" width="9.26953125" style="171" bestFit="1" customWidth="1"/>
    <col min="10" max="10" width="9.1796875" style="171"/>
    <col min="11" max="11" width="9.1796875" style="306"/>
    <col min="12" max="16384" width="9.1796875" style="171"/>
  </cols>
  <sheetData>
    <row r="1" spans="1:11" s="197" customFormat="1" ht="34.5" customHeight="1" x14ac:dyDescent="0.35">
      <c r="A1" s="203" t="s">
        <v>231</v>
      </c>
      <c r="K1" s="306"/>
    </row>
    <row r="2" spans="1:11" s="197" customFormat="1" x14ac:dyDescent="0.3">
      <c r="B2" s="317"/>
      <c r="D2" s="186" t="s">
        <v>232</v>
      </c>
      <c r="K2" s="306"/>
    </row>
    <row r="3" spans="1:11" ht="19.5" customHeight="1" x14ac:dyDescent="0.3">
      <c r="B3" s="171" t="s">
        <v>233</v>
      </c>
      <c r="C3" s="204">
        <f>SelectedYear</f>
        <v>2021</v>
      </c>
      <c r="D3" s="171">
        <f ca="1">MATCH(C3,lstYears,0)+1</f>
        <v>6</v>
      </c>
    </row>
    <row r="4" spans="1:11" ht="19.5" customHeight="1" x14ac:dyDescent="0.3">
      <c r="B4" s="171" t="s">
        <v>234</v>
      </c>
      <c r="C4" s="204">
        <f>C3-1</f>
        <v>2020</v>
      </c>
      <c r="D4" s="171">
        <f ca="1">MATCH(C4,lstYears,0)+1</f>
        <v>5</v>
      </c>
    </row>
    <row r="5" spans="1:11" ht="19.5" customHeight="1" x14ac:dyDescent="0.35"/>
    <row r="6" spans="1:11" ht="19.5" customHeight="1" thickBot="1" x14ac:dyDescent="0.35">
      <c r="B6" s="171" t="s">
        <v>232</v>
      </c>
      <c r="C6" s="205">
        <f ca="1">MATCH(C7,lstYears,0)+1</f>
        <v>2</v>
      </c>
      <c r="D6" s="205">
        <f ca="1">MATCH(D7,lstYears,0)+1</f>
        <v>3</v>
      </c>
      <c r="E6" s="205">
        <f ca="1">MATCH(E7,lstYears,0)+1</f>
        <v>4</v>
      </c>
      <c r="F6" s="205">
        <f ca="1">MATCH(F7,lstYears,0)+1</f>
        <v>5</v>
      </c>
      <c r="G6" s="205">
        <f ca="1">MATCH(G7,lstYears,0)+1</f>
        <v>6</v>
      </c>
      <c r="I6" s="171">
        <f ca="1">COUNT(C6:G6)</f>
        <v>5</v>
      </c>
    </row>
    <row r="7" spans="1:11" ht="18" thickBot="1" x14ac:dyDescent="0.4">
      <c r="B7" s="206" t="s">
        <v>235</v>
      </c>
      <c r="C7" s="207">
        <f>D7-1</f>
        <v>2017</v>
      </c>
      <c r="D7" s="207">
        <f>E7-1</f>
        <v>2018</v>
      </c>
      <c r="E7" s="207">
        <f>F7-1</f>
        <v>2019</v>
      </c>
      <c r="F7" s="207">
        <f>G7-1</f>
        <v>2020</v>
      </c>
      <c r="G7" s="207">
        <f>C3</f>
        <v>2021</v>
      </c>
      <c r="H7" s="206"/>
    </row>
    <row r="8" spans="1:11" ht="19.5" customHeight="1" x14ac:dyDescent="0.3">
      <c r="A8" s="171">
        <f>MATCH(B8,'Financial Data Input'!$B$7:$B$66,0)</f>
        <v>8</v>
      </c>
      <c r="B8" s="171" t="str">
        <f>IF('Key Metric Settings'!C5="","",'Key Metric Settings'!C5)</f>
        <v>Total Transfers $</v>
      </c>
      <c r="C8" s="171">
        <f ca="1">IFERROR(INDEX('Financial Data Input'!$B$7:$G$66,$A8,C$6),NA())</f>
        <v>396.45741999999996</v>
      </c>
      <c r="D8" s="171">
        <f ca="1">IFERROR(INDEX('Financial Data Input'!$B$7:$G$66,$A8,D$6),NA())</f>
        <v>337.62459000000001</v>
      </c>
      <c r="E8" s="171">
        <f ca="1">IFERROR(INDEX('Financial Data Input'!$B$7:$G$66,$A8,E$6),NA())</f>
        <v>586.47232999999983</v>
      </c>
      <c r="F8" s="171">
        <f ca="1">IFERROR(INDEX('Financial Data Input'!$B$7:$G$66,$A8,F$6),NA())</f>
        <v>976.39688999999896</v>
      </c>
      <c r="G8" s="171">
        <f ca="1">IFERROR(INDEX('Financial Data Input'!$B$7:$G$66,$A8,G$6),NA())</f>
        <v>1313.5262</v>
      </c>
      <c r="H8" s="208">
        <f ca="1">IFERROR(G8/F8-1,"")</f>
        <v>0.3452789674493959</v>
      </c>
    </row>
    <row r="9" spans="1:11" ht="19.5" customHeight="1" x14ac:dyDescent="0.3">
      <c r="A9" s="171">
        <f>MATCH(B9,'Financial Data Input'!$B$7:$B$66,0)</f>
        <v>9</v>
      </c>
      <c r="B9" s="171" t="str">
        <f>IF('Key Metric Settings'!C6="","",'Key Metric Settings'!C6)</f>
        <v>Retro Salary Transfers &gt; 90 Days $</v>
      </c>
      <c r="C9" s="171">
        <f ca="1">IFERROR(INDEX('Financial Data Input'!$B$7:$G$66,$A9,C$6),NA())</f>
        <v>37.880470000000003</v>
      </c>
      <c r="D9" s="171">
        <f ca="1">IFERROR(INDEX('Financial Data Input'!$B$7:$G$66,$A9,D$6),NA())</f>
        <v>18.208539999999999</v>
      </c>
      <c r="E9" s="171">
        <f ca="1">IFERROR(INDEX('Financial Data Input'!$B$7:$G$66,$A9,E$6),NA())</f>
        <v>68.542260000000013</v>
      </c>
      <c r="F9" s="171">
        <f ca="1">IFERROR(INDEX('Financial Data Input'!$B$7:$G$66,$A9,F$6),NA())</f>
        <v>317.31985000000009</v>
      </c>
      <c r="G9" s="171">
        <f ca="1">IFERROR(INDEX('Financial Data Input'!$B$7:$G$66,$A9,G$6),NA())</f>
        <v>376.86191999999983</v>
      </c>
      <c r="H9" s="208">
        <f t="shared" ref="H9:H12" ca="1" si="0">IFERROR(G9/F9-1,"")</f>
        <v>0.18764054628161375</v>
      </c>
    </row>
    <row r="10" spans="1:11" ht="19.5" customHeight="1" x14ac:dyDescent="0.3">
      <c r="A10" s="171">
        <f>MATCH(B10,'Financial Data Input'!$B$7:$B$66,0)</f>
        <v>22</v>
      </c>
      <c r="B10" s="171" t="str">
        <f>IF('Key Metric Settings'!C7="","",'Key Metric Settings'!C7)</f>
        <v>Deposits $</v>
      </c>
      <c r="C10" s="171">
        <f ca="1">IFERROR(INDEX('Financial Data Input'!$B$7:$G$66,$A10,C$6),NA())</f>
        <v>134.84917999999999</v>
      </c>
      <c r="D10" s="171">
        <f ca="1">IFERROR(INDEX('Financial Data Input'!$B$7:$G$66,$A10,D$6),NA())</f>
        <v>193.63813000000002</v>
      </c>
      <c r="E10" s="171">
        <f ca="1">IFERROR(INDEX('Financial Data Input'!$B$7:$G$66,$A10,E$6),NA())</f>
        <v>303.29376999999999</v>
      </c>
      <c r="F10" s="171">
        <f ca="1">IFERROR(INDEX('Financial Data Input'!$B$7:$G$66,$A10,F$6),NA())</f>
        <v>132.65812</v>
      </c>
      <c r="G10" s="171">
        <f ca="1">IFERROR(INDEX('Financial Data Input'!$B$7:$G$66,$A10,G$6),NA())</f>
        <v>109.98751000000001</v>
      </c>
      <c r="H10" s="208">
        <f t="shared" ca="1" si="0"/>
        <v>-0.1708950043917401</v>
      </c>
    </row>
    <row r="11" spans="1:11" ht="19.5" customHeight="1" x14ac:dyDescent="0.3">
      <c r="A11" s="171">
        <f>MATCH(B11,'Financial Data Input'!$B$7:$B$66,0)</f>
        <v>39</v>
      </c>
      <c r="B11" s="171" t="str">
        <f>IF('Key Metric Settings'!C8="","",'Key Metric Settings'!C8)</f>
        <v>Gift Fund Balance $</v>
      </c>
      <c r="C11" s="171">
        <f ca="1">IFERROR(INDEX('Financial Data Input'!$B$7:$G$66,$A11,C$6),NA())</f>
        <v>3697.0396700000028</v>
      </c>
      <c r="D11" s="171">
        <f ca="1">IFERROR(INDEX('Financial Data Input'!$B$7:$G$66,$A11,D$6),NA())</f>
        <v>3623.8218299999994</v>
      </c>
      <c r="E11" s="171">
        <f ca="1">IFERROR(INDEX('Financial Data Input'!$B$7:$G$66,$A11,E$6),NA())</f>
        <v>3526.1492800000005</v>
      </c>
      <c r="F11" s="171">
        <f ca="1">IFERROR(INDEX('Financial Data Input'!$B$7:$G$66,$A11,F$6),NA())</f>
        <v>3440.3598899999988</v>
      </c>
      <c r="G11" s="171">
        <f ca="1">IFERROR(INDEX('Financial Data Input'!$B$7:$G$66,$A11,G$6),NA())</f>
        <v>3393.2322999999978</v>
      </c>
      <c r="H11" s="208">
        <f t="shared" ca="1" si="0"/>
        <v>-1.3698447693506033E-2</v>
      </c>
    </row>
    <row r="12" spans="1:11" ht="19.5" customHeight="1" x14ac:dyDescent="0.3">
      <c r="A12" s="171">
        <f>MATCH(B12,'Financial Data Input'!$B$7:$B$66,0)</f>
        <v>49</v>
      </c>
      <c r="B12" s="171" t="str">
        <f>IF('Key Metric Settings'!C9="","",'Key Metric Settings'!C9)</f>
        <v>Total Assets #</v>
      </c>
      <c r="C12" s="171">
        <f ca="1">IFERROR(INDEX('Financial Data Input'!$B$7:$G$66,$A12,C$6),NA())</f>
        <v>7</v>
      </c>
      <c r="D12" s="171">
        <f ca="1">IFERROR(INDEX('Financial Data Input'!$B$7:$G$66,$A12,D$6),NA())</f>
        <v>6</v>
      </c>
      <c r="E12" s="171">
        <f ca="1">IFERROR(INDEX('Financial Data Input'!$B$7:$G$66,$A12,E$6),NA())</f>
        <v>6</v>
      </c>
      <c r="F12" s="171">
        <f ca="1">IFERROR(INDEX('Financial Data Input'!$B$7:$G$66,$A12,F$6),NA())</f>
        <v>22</v>
      </c>
      <c r="G12" s="171">
        <f ca="1">IFERROR(INDEX('Financial Data Input'!$B$7:$G$66,$A12,G$6),NA())</f>
        <v>22</v>
      </c>
      <c r="H12" s="208">
        <f t="shared" ca="1" si="0"/>
        <v>0</v>
      </c>
    </row>
    <row r="13" spans="1:11" ht="14.5" thickBot="1" x14ac:dyDescent="0.4"/>
    <row r="14" spans="1:11" ht="18" thickBot="1" x14ac:dyDescent="0.4">
      <c r="B14" s="206" t="s">
        <v>252</v>
      </c>
      <c r="C14" s="206"/>
      <c r="D14" s="206"/>
      <c r="E14" s="206"/>
      <c r="F14" s="206"/>
      <c r="G14" s="206"/>
      <c r="H14" s="206"/>
    </row>
    <row r="15" spans="1:11" ht="19.5" customHeight="1" x14ac:dyDescent="0.35">
      <c r="A15" s="171">
        <f>ROWS($B$15:B15)</f>
        <v>1</v>
      </c>
      <c r="B15" s="171" t="str">
        <f>IF('Financial Data Input'!B7=0,"",'Financial Data Input'!B7)</f>
        <v>Open PCards</v>
      </c>
      <c r="C15" s="171">
        <f ca="1">IF(B15="",NA(),IFERROR(INDEX('Financial Data Input'!$B$7:$G$66,$A15,C$6),NA()))</f>
        <v>15</v>
      </c>
      <c r="D15" s="171">
        <f ca="1">IF(B15="",NA(),IFERROR(INDEX('Financial Data Input'!$B$7:$G$66,$A15,D$6),NA()))</f>
        <v>17</v>
      </c>
      <c r="E15" s="171">
        <f ca="1">IF(B15="",NA(),IFERROR(INDEX('Financial Data Input'!$B$7:$G$66,$A15,E$6),NA()))</f>
        <v>19</v>
      </c>
      <c r="F15" s="171">
        <f ca="1">IF(B15="",NA(),IFERROR(INDEX('Financial Data Input'!$B$7:$G$66,$A15,F$6),NA()))</f>
        <v>22</v>
      </c>
      <c r="G15" s="171">
        <f ca="1">IF(B15="",NA(),IFERROR(INDEX('Financial Data Input'!$B$7:$G$66,$A15,G$6),NA()))</f>
        <v>21</v>
      </c>
      <c r="K15" s="235" t="s">
        <v>115</v>
      </c>
    </row>
    <row r="16" spans="1:11" ht="19.5" customHeight="1" x14ac:dyDescent="0.35">
      <c r="A16" s="171">
        <f>ROWS($B$15:B16)</f>
        <v>2</v>
      </c>
      <c r="B16" s="171" t="str">
        <f>IF('Financial Data Input'!B8=0,"",'Financial Data Input'!B8)</f>
        <v>PCards Open for 6 Months</v>
      </c>
      <c r="C16" s="171">
        <f ca="1">IF(B16="",NA(),IFERROR(INDEX('Financial Data Input'!$B$7:$G$66,$A16,C$6),NA()))</f>
        <v>13</v>
      </c>
      <c r="D16" s="171">
        <f ca="1">IF(B16="",NA(),IFERROR(INDEX('Financial Data Input'!$B$7:$G$66,$A16,D$6),NA()))</f>
        <v>16</v>
      </c>
      <c r="E16" s="171">
        <f ca="1">IF(B16="",NA(),IFERROR(INDEX('Financial Data Input'!$B$7:$G$66,$A16,E$6),NA()))</f>
        <v>17</v>
      </c>
      <c r="F16" s="171">
        <f ca="1">IF(B16="",NA(),IFERROR(INDEX('Financial Data Input'!$B$7:$G$66,$A16,F$6),NA()))</f>
        <v>20</v>
      </c>
      <c r="G16" s="171">
        <f ca="1">IF(B16="",NA(),IFERROR(INDEX('Financial Data Input'!$B$7:$G$66,$A16,G$6),NA()))</f>
        <v>19</v>
      </c>
      <c r="K16" s="235" t="s">
        <v>115</v>
      </c>
    </row>
    <row r="17" spans="1:11" ht="19.5" customHeight="1" x14ac:dyDescent="0.35">
      <c r="A17" s="171">
        <f>ROWS($B$15:B17)</f>
        <v>3</v>
      </c>
      <c r="B17" s="171" t="str">
        <f>IF('Financial Data Input'!B9=0,"",'Financial Data Input'!B9)</f>
        <v>Underutilized PCards #</v>
      </c>
      <c r="C17" s="171">
        <f ca="1">IF(B17="",NA(),IFERROR(INDEX('Financial Data Input'!$B$7:$G$66,$A17,C$6),NA()))</f>
        <v>0</v>
      </c>
      <c r="D17" s="171">
        <f ca="1">IF(B17="",NA(),IFERROR(INDEX('Financial Data Input'!$B$7:$G$66,$A17,D$6),NA()))</f>
        <v>0</v>
      </c>
      <c r="E17" s="171">
        <f ca="1">IF(B17="",NA(),IFERROR(INDEX('Financial Data Input'!$B$7:$G$66,$A17,E$6),NA()))</f>
        <v>0</v>
      </c>
      <c r="F17" s="171">
        <f ca="1">IF(B17="",NA(),IFERROR(INDEX('Financial Data Input'!$B$7:$G$66,$A17,F$6),NA()))</f>
        <v>0</v>
      </c>
      <c r="G17" s="171">
        <f ca="1">IF(B17="",NA(),IFERROR(INDEX('Financial Data Input'!$B$7:$G$66,$A17,G$6),NA()))</f>
        <v>0</v>
      </c>
      <c r="K17" s="235" t="s">
        <v>115</v>
      </c>
    </row>
    <row r="18" spans="1:11" ht="19.5" customHeight="1" x14ac:dyDescent="0.35">
      <c r="A18" s="171">
        <f>ROWS($B$15:B18)</f>
        <v>4</v>
      </c>
      <c r="B18" s="171" t="str">
        <f>IF('Financial Data Input'!B10=0,"",'Financial Data Input'!B10)</f>
        <v>Underutilized PCards %</v>
      </c>
      <c r="C18" s="171">
        <f ca="1">IF(B18="",NA(),IFERROR(INDEX('Financial Data Input'!$B$7:$G$66,$A18,C$6),NA()))</f>
        <v>0</v>
      </c>
      <c r="D18" s="171">
        <f ca="1">IF(B18="",NA(),IFERROR(INDEX('Financial Data Input'!$B$7:$G$66,$A18,D$6),NA()))</f>
        <v>0</v>
      </c>
      <c r="E18" s="171">
        <f ca="1">IF(B18="",NA(),IFERROR(INDEX('Financial Data Input'!$B$7:$G$66,$A18,E$6),NA()))</f>
        <v>0</v>
      </c>
      <c r="F18" s="171">
        <f ca="1">IF(B18="",NA(),IFERROR(INDEX('Financial Data Input'!$B$7:$G$66,$A18,F$6),NA()))</f>
        <v>0</v>
      </c>
      <c r="G18" s="171">
        <f ca="1">IF(B18="",NA(),IFERROR(INDEX('Financial Data Input'!$B$7:$G$66,$A18,G$6),NA()))</f>
        <v>0</v>
      </c>
      <c r="K18" s="235" t="s">
        <v>115</v>
      </c>
    </row>
    <row r="19" spans="1:11" ht="19.5" customHeight="1" x14ac:dyDescent="0.35">
      <c r="A19" s="171">
        <f>ROWS($B$15:B19)</f>
        <v>5</v>
      </c>
      <c r="B19" s="171" t="str">
        <f>IF('Financial Data Input'!B11=0,"",'Financial Data Input'!B11)</f>
        <v>Unused Pcards #</v>
      </c>
      <c r="C19" s="171">
        <f ca="1">IF(B19="",NA(),IFERROR(INDEX('Financial Data Input'!$B$7:$G$66,$A19,C$6),NA()))</f>
        <v>0</v>
      </c>
      <c r="D19" s="171">
        <f ca="1">IF(B19="",NA(),IFERROR(INDEX('Financial Data Input'!$B$7:$G$66,$A19,D$6),NA()))</f>
        <v>0</v>
      </c>
      <c r="E19" s="171">
        <f ca="1">IF(B19="",NA(),IFERROR(INDEX('Financial Data Input'!$B$7:$G$66,$A19,E$6),NA()))</f>
        <v>0</v>
      </c>
      <c r="F19" s="171">
        <f ca="1">IF(B19="",NA(),IFERROR(INDEX('Financial Data Input'!$B$7:$G$66,$A19,F$6),NA()))</f>
        <v>0</v>
      </c>
      <c r="G19" s="171">
        <f ca="1">IF(B19="",NA(),IFERROR(INDEX('Financial Data Input'!$B$7:$G$66,$A19,G$6),NA()))</f>
        <v>0</v>
      </c>
      <c r="K19" s="235" t="s">
        <v>115</v>
      </c>
    </row>
    <row r="20" spans="1:11" ht="19.5" customHeight="1" x14ac:dyDescent="0.35">
      <c r="A20" s="171">
        <f>ROWS($B$15:B20)</f>
        <v>6</v>
      </c>
      <c r="B20" s="171" t="str">
        <f>IF('Financial Data Input'!B12=0,"",'Financial Data Input'!B12)</f>
        <v>Unused Pcards %</v>
      </c>
      <c r="C20" s="171">
        <f ca="1">IF(B20="",NA(),IFERROR(INDEX('Financial Data Input'!$B$7:$G$66,$A20,C$6),NA()))</f>
        <v>0</v>
      </c>
      <c r="D20" s="171">
        <f ca="1">IF(B20="",NA(),IFERROR(INDEX('Financial Data Input'!$B$7:$G$66,$A20,D$6),NA()))</f>
        <v>0</v>
      </c>
      <c r="E20" s="171">
        <f ca="1">IF(B20="",NA(),IFERROR(INDEX('Financial Data Input'!$B$7:$G$66,$A20,E$6),NA()))</f>
        <v>0</v>
      </c>
      <c r="F20" s="171">
        <f ca="1">IF(B20="",NA(),IFERROR(INDEX('Financial Data Input'!$B$7:$G$66,$A20,F$6),NA()))</f>
        <v>0</v>
      </c>
      <c r="G20" s="171">
        <f ca="1">IF(B20="",NA(),IFERROR(INDEX('Financial Data Input'!$B$7:$G$66,$A20,G$6),NA()))</f>
        <v>0</v>
      </c>
      <c r="K20" s="235" t="s">
        <v>115</v>
      </c>
    </row>
    <row r="21" spans="1:11" ht="19.5" customHeight="1" x14ac:dyDescent="0.35">
      <c r="A21" s="171">
        <f>ROWS($B$15:B21)</f>
        <v>7</v>
      </c>
      <c r="B21" s="171" t="str">
        <f>IF('Financial Data Input'!B13=0,"",'Financial Data Input'!B13)</f>
        <v>Total Paid $</v>
      </c>
      <c r="C21" s="171">
        <f ca="1">IF(B21="",NA(),IFERROR(INDEX('Financial Data Input'!$B$7:$G$66,$A21,C$6),NA()))</f>
        <v>14841.885269999999</v>
      </c>
      <c r="D21" s="171">
        <f ca="1">IF(B21="",NA(),IFERROR(INDEX('Financial Data Input'!$B$7:$G$66,$A21,D$6),NA()))</f>
        <v>15864.29909</v>
      </c>
      <c r="E21" s="171">
        <f ca="1">IF(B21="",NA(),IFERROR(INDEX('Financial Data Input'!$B$7:$G$66,$A21,E$6),NA()))</f>
        <v>17961.59648</v>
      </c>
      <c r="F21" s="171">
        <f ca="1">IF(B21="",NA(),IFERROR(INDEX('Financial Data Input'!$B$7:$G$66,$A21,F$6),NA()))</f>
        <v>18902.57098</v>
      </c>
      <c r="G21" s="171">
        <f ca="1">IF(B21="",NA(),IFERROR(INDEX('Financial Data Input'!$B$7:$G$66,$A21,G$6),NA()))</f>
        <v>18895.54981</v>
      </c>
      <c r="K21" s="306" t="s">
        <v>120</v>
      </c>
    </row>
    <row r="22" spans="1:11" ht="19.5" customHeight="1" x14ac:dyDescent="0.35">
      <c r="A22" s="171">
        <f>ROWS($B$15:B22)</f>
        <v>8</v>
      </c>
      <c r="B22" s="171" t="str">
        <f>IF('Financial Data Input'!B14=0,"",'Financial Data Input'!B14)</f>
        <v>Total Transfers $</v>
      </c>
      <c r="C22" s="171">
        <f ca="1">IF(B22="",NA(),IFERROR(INDEX('Financial Data Input'!$B$7:$G$66,$A22,C$6),NA()))</f>
        <v>396.45741999999996</v>
      </c>
      <c r="D22" s="171">
        <f ca="1">IF(B22="",NA(),IFERROR(INDEX('Financial Data Input'!$B$7:$G$66,$A22,D$6),NA()))</f>
        <v>337.62459000000001</v>
      </c>
      <c r="E22" s="171">
        <f ca="1">IF(B22="",NA(),IFERROR(INDEX('Financial Data Input'!$B$7:$G$66,$A22,E$6),NA()))</f>
        <v>586.47232999999983</v>
      </c>
      <c r="F22" s="171">
        <f ca="1">IF(B22="",NA(),IFERROR(INDEX('Financial Data Input'!$B$7:$G$66,$A22,F$6),NA()))</f>
        <v>976.39688999999896</v>
      </c>
      <c r="G22" s="171">
        <f ca="1">IF(B22="",NA(),IFERROR(INDEX('Financial Data Input'!$B$7:$G$66,$A22,G$6),NA()))</f>
        <v>1313.5262</v>
      </c>
      <c r="K22" s="306" t="s">
        <v>120</v>
      </c>
    </row>
    <row r="23" spans="1:11" ht="19.5" customHeight="1" x14ac:dyDescent="0.35">
      <c r="A23" s="171">
        <f>ROWS($B$15:B23)</f>
        <v>9</v>
      </c>
      <c r="B23" s="171" t="str">
        <f>IF('Financial Data Input'!B15=0,"",'Financial Data Input'!B15)</f>
        <v>Retro Salary Transfers &gt; 90 Days $</v>
      </c>
      <c r="C23" s="171">
        <f ca="1">IF(B23="",NA(),IFERROR(INDEX('Financial Data Input'!$B$7:$G$66,$A23,C$6),NA()))</f>
        <v>37.880470000000003</v>
      </c>
      <c r="D23" s="171">
        <f ca="1">IF(B23="",NA(),IFERROR(INDEX('Financial Data Input'!$B$7:$G$66,$A23,D$6),NA()))</f>
        <v>18.208539999999999</v>
      </c>
      <c r="E23" s="171">
        <f ca="1">IF(B23="",NA(),IFERROR(INDEX('Financial Data Input'!$B$7:$G$66,$A23,E$6),NA()))</f>
        <v>68.542260000000013</v>
      </c>
      <c r="F23" s="171">
        <f ca="1">IF(B23="",NA(),IFERROR(INDEX('Financial Data Input'!$B$7:$G$66,$A23,F$6),NA()))</f>
        <v>317.31985000000009</v>
      </c>
      <c r="G23" s="171">
        <f ca="1">IF(B23="",NA(),IFERROR(INDEX('Financial Data Input'!$B$7:$G$66,$A23,G$6),NA()))</f>
        <v>376.86191999999983</v>
      </c>
      <c r="K23" s="306" t="s">
        <v>120</v>
      </c>
    </row>
    <row r="24" spans="1:11" ht="19.5" customHeight="1" x14ac:dyDescent="0.35">
      <c r="A24" s="171">
        <f>ROWS($B$15:B24)</f>
        <v>10</v>
      </c>
      <c r="B24" s="171" t="str">
        <f>IF('Financial Data Input'!B16=0,"",'Financial Data Input'!B16)</f>
        <v>Total Transfers %</v>
      </c>
      <c r="C24" s="171">
        <f ca="1">IF(B24="",NA(),IFERROR(INDEX('Financial Data Input'!$B$7:$G$66,$A24,C$6),NA()))</f>
        <v>2.6712066074339087E-2</v>
      </c>
      <c r="D24" s="171">
        <f ca="1">IF(B24="",NA(),IFERROR(INDEX('Financial Data Input'!$B$7:$G$66,$A24,D$6),NA()))</f>
        <v>2.1282036356262371E-2</v>
      </c>
      <c r="E24" s="171">
        <f ca="1">IF(B24="",NA(),IFERROR(INDEX('Financial Data Input'!$B$7:$G$66,$A24,E$6),NA()))</f>
        <v>3.265145894202829E-2</v>
      </c>
      <c r="F24" s="171">
        <f ca="1">IF(B24="",NA(),IFERROR(INDEX('Financial Data Input'!$B$7:$G$66,$A24,F$6),NA()))</f>
        <v>5.1654184556856456E-2</v>
      </c>
      <c r="G24" s="171">
        <f ca="1">IF(B24="",NA(),IFERROR(INDEX('Financial Data Input'!$B$7:$G$66,$A24,G$6),NA()))</f>
        <v>6.9515108753535657E-2</v>
      </c>
      <c r="K24" s="306" t="s">
        <v>120</v>
      </c>
    </row>
    <row r="25" spans="1:11" ht="19.5" customHeight="1" x14ac:dyDescent="0.35">
      <c r="A25" s="171">
        <f>ROWS($B$15:B25)</f>
        <v>11</v>
      </c>
      <c r="B25" s="171" t="str">
        <f>IF('Financial Data Input'!B17=0,"",'Financial Data Input'!B17)</f>
        <v>Transfers &gt; 90 Days %</v>
      </c>
      <c r="C25" s="171">
        <f ca="1">IF(B25="",NA(),IFERROR(INDEX('Financial Data Input'!$B$7:$G$66,$A25,C$6),NA()))</f>
        <v>2.8007328450958954E-3</v>
      </c>
      <c r="D25" s="171">
        <f ca="1">IF(B25="",NA(),IFERROR(INDEX('Financial Data Input'!$B$7:$G$66,$A25,D$6),NA()))</f>
        <v>1.1477683253890293E-3</v>
      </c>
      <c r="E25" s="171">
        <f ca="1">IF(B25="",NA(),IFERROR(INDEX('Financial Data Input'!$B$7:$G$66,$A25,E$6),NA()))</f>
        <v>3.8160449755299261E-3</v>
      </c>
      <c r="F25" s="171">
        <f ca="1">IF(B25="",NA(),IFERROR(INDEX('Financial Data Input'!$B$7:$G$66,$A25,F$6),NA()))</f>
        <v>1.6787126488547119E-2</v>
      </c>
      <c r="G25" s="171">
        <f ca="1">IF(B25="",NA(),IFERROR(INDEX('Financial Data Input'!$B$7:$G$66,$A25,G$6),NA()))</f>
        <v>1.994448025008275E-2</v>
      </c>
      <c r="K25" s="306" t="s">
        <v>120</v>
      </c>
    </row>
    <row r="26" spans="1:11" ht="19.5" customHeight="1" x14ac:dyDescent="0.35">
      <c r="A26" s="171">
        <f>ROWS($B$15:B26)</f>
        <v>12</v>
      </c>
      <c r="B26" s="171" t="str">
        <f>IF('Financial Data Input'!B18=0,"",'Financial Data Input'!B18)</f>
        <v>Total Paid $</v>
      </c>
      <c r="C26" s="171">
        <f ca="1">IF(B26="",NA(),IFERROR(INDEX('Financial Data Input'!$B$7:$G$66,$A26,C$6),NA()))</f>
        <v>1745.7907099999975</v>
      </c>
      <c r="D26" s="171">
        <f ca="1">IF(B26="",NA(),IFERROR(INDEX('Financial Data Input'!$B$7:$G$66,$A26,D$6),NA()))</f>
        <v>1967.8402399999986</v>
      </c>
      <c r="E26" s="171">
        <f ca="1">IF(B26="",NA(),IFERROR(INDEX('Financial Data Input'!$B$7:$G$66,$A26,E$6),NA()))</f>
        <v>1908.6789900000001</v>
      </c>
      <c r="F26" s="171">
        <f ca="1">IF(B26="",NA(),IFERROR(INDEX('Financial Data Input'!$B$7:$G$66,$A26,F$6),NA()))</f>
        <v>1980.4573399999929</v>
      </c>
      <c r="G26" s="171">
        <f ca="1">IF(B26="",NA(),IFERROR(INDEX('Financial Data Input'!$B$7:$G$66,$A26,G$6),NA()))</f>
        <v>1934.8244400000003</v>
      </c>
      <c r="K26" s="235" t="s">
        <v>376</v>
      </c>
    </row>
    <row r="27" spans="1:11" ht="19.5" customHeight="1" x14ac:dyDescent="0.35">
      <c r="A27" s="171">
        <f>ROWS($B$15:B27)</f>
        <v>13</v>
      </c>
      <c r="B27" s="171" t="str">
        <f>IF('Financial Data Input'!B19=0,"",'Financial Data Input'!B19)</f>
        <v>Total Transfers $</v>
      </c>
      <c r="C27" s="171">
        <f ca="1">IF(B27="",NA(),IFERROR(INDEX('Financial Data Input'!$B$7:$G$66,$A27,C$6),NA()))</f>
        <v>227.49660999999998</v>
      </c>
      <c r="D27" s="171">
        <f ca="1">IF(B27="",NA(),IFERROR(INDEX('Financial Data Input'!$B$7:$G$66,$A27,D$6),NA()))</f>
        <v>164.87246000000002</v>
      </c>
      <c r="E27" s="171">
        <f ca="1">IF(B27="",NA(),IFERROR(INDEX('Financial Data Input'!$B$7:$G$66,$A27,E$6),NA()))</f>
        <v>151.78335000000004</v>
      </c>
      <c r="F27" s="171">
        <f ca="1">IF(B27="",NA(),IFERROR(INDEX('Financial Data Input'!$B$7:$G$66,$A27,F$6),NA()))</f>
        <v>596.68530999999984</v>
      </c>
      <c r="G27" s="171">
        <f ca="1">IF(B27="",NA(),IFERROR(INDEX('Financial Data Input'!$B$7:$G$66,$A27,G$6),NA()))</f>
        <v>607.83155000000056</v>
      </c>
      <c r="K27" s="235" t="s">
        <v>376</v>
      </c>
    </row>
    <row r="28" spans="1:11" ht="19.5" customHeight="1" x14ac:dyDescent="0.35">
      <c r="A28" s="171">
        <f>ROWS($B$15:B28)</f>
        <v>14</v>
      </c>
      <c r="B28" s="171" t="str">
        <f>IF('Financial Data Input'!B20=0,"",'Financial Data Input'!B20)</f>
        <v>Transfers After PG End Date $</v>
      </c>
      <c r="C28" s="171">
        <f ca="1">IF(B28="",NA(),IFERROR(INDEX('Financial Data Input'!$B$7:$G$66,$A28,C$6),NA()))</f>
        <v>47.624589999999998</v>
      </c>
      <c r="D28" s="171">
        <f ca="1">IF(B28="",NA(),IFERROR(INDEX('Financial Data Input'!$B$7:$G$66,$A28,D$6),NA()))</f>
        <v>31.173090000000006</v>
      </c>
      <c r="E28" s="171">
        <f ca="1">IF(B28="",NA(),IFERROR(INDEX('Financial Data Input'!$B$7:$G$66,$A28,E$6),NA()))</f>
        <v>9.8327999999999989</v>
      </c>
      <c r="F28" s="171">
        <f ca="1">IF(B28="",NA(),IFERROR(INDEX('Financial Data Input'!$B$7:$G$66,$A28,F$6),NA()))</f>
        <v>57.940789999999986</v>
      </c>
      <c r="G28" s="171">
        <f ca="1">IF(B28="",NA(),IFERROR(INDEX('Financial Data Input'!$B$7:$G$66,$A28,G$6),NA()))</f>
        <v>86.258769999999984</v>
      </c>
      <c r="K28" s="235" t="s">
        <v>376</v>
      </c>
    </row>
    <row r="29" spans="1:11" ht="19.5" customHeight="1" x14ac:dyDescent="0.35">
      <c r="A29" s="171">
        <f>ROWS($B$15:B29)</f>
        <v>15</v>
      </c>
      <c r="B29" s="171" t="str">
        <f>IF('Financial Data Input'!B21=0,"",'Financial Data Input'!B21)</f>
        <v>Total Transfers %</v>
      </c>
      <c r="C29" s="171">
        <f ca="1">IF(B29="",NA(),IFERROR(INDEX('Financial Data Input'!$B$7:$G$66,$A29,C$6),NA()))</f>
        <v>0.1303115022304136</v>
      </c>
      <c r="D29" s="171">
        <f ca="1">IF(B29="",NA(),IFERROR(INDEX('Financial Data Input'!$B$7:$G$66,$A29,D$6),NA()))</f>
        <v>8.3783457949818188E-2</v>
      </c>
      <c r="E29" s="171">
        <f ca="1">IF(B29="",NA(),IFERROR(INDEX('Financial Data Input'!$B$7:$G$66,$A29,E$6),NA()))</f>
        <v>7.7131947459312108E-2</v>
      </c>
      <c r="F29" s="171">
        <f ca="1">IF(B29="",NA(),IFERROR(INDEX('Financial Data Input'!$B$7:$G$66,$A29,F$6),NA()))</f>
        <v>0.30128662604769968</v>
      </c>
      <c r="G29" s="171">
        <f ca="1">IF(B29="",NA(),IFERROR(INDEX('Financial Data Input'!$B$7:$G$66,$A29,G$6),NA()))</f>
        <v>0.31415333475940604</v>
      </c>
      <c r="K29" s="235" t="s">
        <v>376</v>
      </c>
    </row>
    <row r="30" spans="1:11" ht="19.5" customHeight="1" x14ac:dyDescent="0.35">
      <c r="A30" s="171">
        <f>ROWS($B$15:B30)</f>
        <v>16</v>
      </c>
      <c r="B30" s="171" t="str">
        <f>IF('Financial Data Input'!B22=0,"",'Financial Data Input'!B22)</f>
        <v>Transfers After PG End Date %</v>
      </c>
      <c r="C30" s="171">
        <f ca="1">IF(B30="",NA(),IFERROR(INDEX('Financial Data Input'!$B$7:$G$66,$A30,C$6),NA()))</f>
        <v>2.727966744650627E-2</v>
      </c>
      <c r="D30" s="171">
        <f ca="1">IF(B30="",NA(),IFERROR(INDEX('Financial Data Input'!$B$7:$G$66,$A30,D$6),NA()))</f>
        <v>1.5841270732424917E-2</v>
      </c>
      <c r="E30" s="171">
        <f ca="1">IF(B30="",NA(),IFERROR(INDEX('Financial Data Input'!$B$7:$G$66,$A30,E$6),NA()))</f>
        <v>4.9967470936563459E-3</v>
      </c>
      <c r="F30" s="171">
        <f ca="1">IF(B30="",NA(),IFERROR(INDEX('Financial Data Input'!$B$7:$G$66,$A30,F$6),NA()))</f>
        <v>2.9256267645734899E-2</v>
      </c>
      <c r="G30" s="171">
        <f ca="1">IF(B30="",NA(),IFERROR(INDEX('Financial Data Input'!$B$7:$G$66,$A30,G$6),NA()))</f>
        <v>4.4582220596717279E-2</v>
      </c>
      <c r="K30" s="235" t="s">
        <v>376</v>
      </c>
    </row>
    <row r="31" spans="1:11" ht="19.5" customHeight="1" x14ac:dyDescent="0.35">
      <c r="A31" s="171">
        <f>ROWS($B$15:B31)</f>
        <v>17</v>
      </c>
      <c r="B31" s="171" t="str">
        <f>IF('Financial Data Input'!B23=0,"",'Financial Data Input'!B23)</f>
        <v>Faculty/Staff Required to Certify #</v>
      </c>
      <c r="C31" s="171">
        <f ca="1">IF(B31="",NA(),IFERROR(INDEX('Financial Data Input'!$B$7:$G$66,$A31,C$6),NA()))</f>
        <v>79</v>
      </c>
      <c r="D31" s="171">
        <f ca="1">IF(B31="",NA(),IFERROR(INDEX('Financial Data Input'!$B$7:$G$66,$A31,D$6),NA()))</f>
        <v>78</v>
      </c>
      <c r="E31" s="171">
        <f ca="1">IF(B31="",NA(),IFERROR(INDEX('Financial Data Input'!$B$7:$G$66,$A31,E$6),NA()))</f>
        <v>50</v>
      </c>
      <c r="F31" s="171">
        <f ca="1">IF(B31="",NA(),IFERROR(INDEX('Financial Data Input'!$B$7:$G$66,$A31,F$6),NA()))</f>
        <v>63</v>
      </c>
      <c r="G31" s="171">
        <f ca="1">IF(B31="",NA(),IFERROR(INDEX('Financial Data Input'!$B$7:$G$66,$A31,G$6),NA()))</f>
        <v>60</v>
      </c>
      <c r="K31" s="306" t="s">
        <v>377</v>
      </c>
    </row>
    <row r="32" spans="1:11" ht="19.5" customHeight="1" x14ac:dyDescent="0.35">
      <c r="A32" s="171">
        <f>ROWS($B$15:B32)</f>
        <v>18</v>
      </c>
      <c r="B32" s="171" t="str">
        <f>IF('Financial Data Input'!B24=0,"",'Financial Data Input'!B24)</f>
        <v>On-Time #</v>
      </c>
      <c r="C32" s="171">
        <f ca="1">IF(B32="",NA(),IFERROR(INDEX('Financial Data Input'!$B$7:$G$66,$A32,C$6),NA()))</f>
        <v>79</v>
      </c>
      <c r="D32" s="171">
        <f ca="1">IF(B32="",NA(),IFERROR(INDEX('Financial Data Input'!$B$7:$G$66,$A32,D$6),NA()))</f>
        <v>77</v>
      </c>
      <c r="E32" s="171">
        <f ca="1">IF(B32="",NA(),IFERROR(INDEX('Financial Data Input'!$B$7:$G$66,$A32,E$6),NA()))</f>
        <v>50</v>
      </c>
      <c r="F32" s="171">
        <f ca="1">IF(B32="",NA(),IFERROR(INDEX('Financial Data Input'!$B$7:$G$66,$A32,F$6),NA()))</f>
        <v>55</v>
      </c>
      <c r="G32" s="171">
        <f ca="1">IF(B32="",NA(),IFERROR(INDEX('Financial Data Input'!$B$7:$G$66,$A32,G$6),NA()))</f>
        <v>57</v>
      </c>
      <c r="K32" s="306" t="s">
        <v>377</v>
      </c>
    </row>
    <row r="33" spans="1:11" ht="19.5" customHeight="1" x14ac:dyDescent="0.35">
      <c r="A33" s="171">
        <f>ROWS($B$15:B33)</f>
        <v>19</v>
      </c>
      <c r="B33" s="171" t="str">
        <f>IF('Financial Data Input'!B25=0,"",'Financial Data Input'!B25)</f>
        <v>On-Time %</v>
      </c>
      <c r="C33" s="171">
        <f ca="1">IF(B33="",NA(),IFERROR(INDEX('Financial Data Input'!$B$7:$G$66,$A33,C$6),NA()))</f>
        <v>1</v>
      </c>
      <c r="D33" s="171">
        <f ca="1">IF(B33="",NA(),IFERROR(INDEX('Financial Data Input'!$B$7:$G$66,$A33,D$6),NA()))</f>
        <v>0.98717948717948723</v>
      </c>
      <c r="E33" s="171">
        <f ca="1">IF(B33="",NA(),IFERROR(INDEX('Financial Data Input'!$B$7:$G$66,$A33,E$6),NA()))</f>
        <v>1</v>
      </c>
      <c r="F33" s="171">
        <f ca="1">IF(B33="",NA(),IFERROR(INDEX('Financial Data Input'!$B$7:$G$66,$A33,F$6),NA()))</f>
        <v>0.87301587301587302</v>
      </c>
      <c r="G33" s="171">
        <f ca="1">IF(B33="",NA(),IFERROR(INDEX('Financial Data Input'!$B$7:$G$66,$A33,G$6),NA()))</f>
        <v>0.95</v>
      </c>
      <c r="K33" s="306" t="s">
        <v>377</v>
      </c>
    </row>
    <row r="34" spans="1:11" ht="19.5" customHeight="1" x14ac:dyDescent="0.35">
      <c r="A34" s="171">
        <f>ROWS($B$15:B34)</f>
        <v>20</v>
      </c>
      <c r="B34" s="171" t="str">
        <f>IF('Financial Data Input'!B26=0,"",'Financial Data Input'!B26)</f>
        <v>Active Deposit Locations #</v>
      </c>
      <c r="C34" s="171">
        <f ca="1">IF(B34="",NA(),IFERROR(INDEX('Financial Data Input'!$B$7:$G$66,$A34,C$6),NA()))</f>
        <v>4</v>
      </c>
      <c r="D34" s="171">
        <f ca="1">IF(B34="",NA(),IFERROR(INDEX('Financial Data Input'!$B$7:$G$66,$A34,D$6),NA()))</f>
        <v>3</v>
      </c>
      <c r="E34" s="171">
        <f ca="1">IF(B34="",NA(),IFERROR(INDEX('Financial Data Input'!$B$7:$G$66,$A34,E$6),NA()))</f>
        <v>2</v>
      </c>
      <c r="F34" s="171">
        <f ca="1">IF(B34="",NA(),IFERROR(INDEX('Financial Data Input'!$B$7:$G$66,$A34,F$6),NA()))</f>
        <v>2</v>
      </c>
      <c r="G34" s="171">
        <f ca="1">IF(B34="",NA(),IFERROR(INDEX('Financial Data Input'!$B$7:$G$66,$A34,G$6),NA()))</f>
        <v>2</v>
      </c>
      <c r="K34" s="235" t="s">
        <v>190</v>
      </c>
    </row>
    <row r="35" spans="1:11" ht="19.5" customHeight="1" x14ac:dyDescent="0.35">
      <c r="A35" s="171">
        <f>ROWS($B$15:B35)</f>
        <v>21</v>
      </c>
      <c r="B35" s="171" t="str">
        <f>IF('Financial Data Input'!B27=0,"",'Financial Data Input'!B27)</f>
        <v>Deposits #</v>
      </c>
      <c r="C35" s="171">
        <f ca="1">IF(B35="",NA(),IFERROR(INDEX('Financial Data Input'!$B$7:$G$66,$A35,C$6),NA()))</f>
        <v>74</v>
      </c>
      <c r="D35" s="171">
        <f ca="1">IF(B35="",NA(),IFERROR(INDEX('Financial Data Input'!$B$7:$G$66,$A35,D$6),NA()))</f>
        <v>70</v>
      </c>
      <c r="E35" s="171">
        <f ca="1">IF(B35="",NA(),IFERROR(INDEX('Financial Data Input'!$B$7:$G$66,$A35,E$6),NA()))</f>
        <v>79</v>
      </c>
      <c r="F35" s="171">
        <f ca="1">IF(B35="",NA(),IFERROR(INDEX('Financial Data Input'!$B$7:$G$66,$A35,F$6),NA()))</f>
        <v>58</v>
      </c>
      <c r="G35" s="171">
        <f ca="1">IF(B35="",NA(),IFERROR(INDEX('Financial Data Input'!$B$7:$G$66,$A35,G$6),NA()))</f>
        <v>21</v>
      </c>
      <c r="K35" s="235" t="s">
        <v>190</v>
      </c>
    </row>
    <row r="36" spans="1:11" ht="19.5" customHeight="1" x14ac:dyDescent="0.35">
      <c r="A36" s="171">
        <f>ROWS($B$15:B36)</f>
        <v>22</v>
      </c>
      <c r="B36" s="171" t="str">
        <f>IF('Financial Data Input'!B28=0,"",'Financial Data Input'!B28)</f>
        <v>Deposits $</v>
      </c>
      <c r="C36" s="171">
        <f ca="1">IF(B36="",NA(),IFERROR(INDEX('Financial Data Input'!$B$7:$G$66,$A36,C$6),NA()))</f>
        <v>134.84917999999999</v>
      </c>
      <c r="D36" s="171">
        <f ca="1">IF(B36="",NA(),IFERROR(INDEX('Financial Data Input'!$B$7:$G$66,$A36,D$6),NA()))</f>
        <v>193.63813000000002</v>
      </c>
      <c r="E36" s="171">
        <f ca="1">IF(B36="",NA(),IFERROR(INDEX('Financial Data Input'!$B$7:$G$66,$A36,E$6),NA()))</f>
        <v>303.29376999999999</v>
      </c>
      <c r="F36" s="171">
        <f ca="1">IF(B36="",NA(),IFERROR(INDEX('Financial Data Input'!$B$7:$G$66,$A36,F$6),NA()))</f>
        <v>132.65812</v>
      </c>
      <c r="G36" s="171">
        <f ca="1">IF(B36="",NA(),IFERROR(INDEX('Financial Data Input'!$B$7:$G$66,$A36,G$6),NA()))</f>
        <v>109.98751000000001</v>
      </c>
      <c r="K36" s="235" t="s">
        <v>190</v>
      </c>
    </row>
    <row r="37" spans="1:11" ht="19.5" customHeight="1" x14ac:dyDescent="0.35">
      <c r="A37" s="171">
        <f>ROWS($B$15:B37)</f>
        <v>23</v>
      </c>
      <c r="B37" s="171" t="str">
        <f>IF('Financial Data Input'!B29=0,"",'Financial Data Input'!B29)</f>
        <v>Depositors #</v>
      </c>
      <c r="C37" s="171">
        <f ca="1">IF(B37="",NA(),IFERROR(INDEX('Financial Data Input'!$B$7:$G$66,$A37,C$6),NA()))</f>
        <v>5</v>
      </c>
      <c r="D37" s="171">
        <f ca="1">IF(B37="",NA(),IFERROR(INDEX('Financial Data Input'!$B$7:$G$66,$A37,D$6),NA()))</f>
        <v>7</v>
      </c>
      <c r="E37" s="171">
        <f ca="1">IF(B37="",NA(),IFERROR(INDEX('Financial Data Input'!$B$7:$G$66,$A37,E$6),NA()))</f>
        <v>5</v>
      </c>
      <c r="F37" s="171">
        <f ca="1">IF(B37="",NA(),IFERROR(INDEX('Financial Data Input'!$B$7:$G$66,$A37,F$6),NA()))</f>
        <v>3</v>
      </c>
      <c r="G37" s="171">
        <f ca="1">IF(B37="",NA(),IFERROR(INDEX('Financial Data Input'!$B$7:$G$66,$A37,G$6),NA()))</f>
        <v>3</v>
      </c>
      <c r="K37" s="235" t="s">
        <v>190</v>
      </c>
    </row>
    <row r="38" spans="1:11" ht="19.5" customHeight="1" x14ac:dyDescent="0.35">
      <c r="A38" s="171">
        <f>ROWS($B$15:B38)</f>
        <v>24</v>
      </c>
      <c r="B38" s="171" t="str">
        <f>IF('Financial Data Input'!B30=0,"",'Financial Data Input'!B30)</f>
        <v>Depositors - Up to Date on Training #</v>
      </c>
      <c r="C38" s="171">
        <f ca="1">IF(B38="",NA(),IFERROR(INDEX('Financial Data Input'!$B$7:$G$66,$A38,C$6),NA()))</f>
        <v>5</v>
      </c>
      <c r="D38" s="171">
        <f ca="1">IF(B38="",NA(),IFERROR(INDEX('Financial Data Input'!$B$7:$G$66,$A38,D$6),NA()))</f>
        <v>3</v>
      </c>
      <c r="E38" s="171">
        <f ca="1">IF(B38="",NA(),IFERROR(INDEX('Financial Data Input'!$B$7:$G$66,$A38,E$6),NA()))</f>
        <v>3</v>
      </c>
      <c r="F38" s="171">
        <f ca="1">IF(B38="",NA(),IFERROR(INDEX('Financial Data Input'!$B$7:$G$66,$A38,F$6),NA()))</f>
        <v>2</v>
      </c>
      <c r="G38" s="171">
        <f ca="1">IF(B38="",NA(),IFERROR(INDEX('Financial Data Input'!$B$7:$G$66,$A38,G$6),NA()))</f>
        <v>2</v>
      </c>
      <c r="K38" s="235" t="s">
        <v>190</v>
      </c>
    </row>
    <row r="39" spans="1:11" ht="19.5" customHeight="1" x14ac:dyDescent="0.35">
      <c r="A39" s="171">
        <f>ROWS($B$15:B39)</f>
        <v>25</v>
      </c>
      <c r="B39" s="171" t="str">
        <f>IF('Financial Data Input'!B31=0,"",'Financial Data Input'!B31)</f>
        <v>Depositors - Up to Date on Training %</v>
      </c>
      <c r="C39" s="171">
        <f ca="1">IF(B39="",NA(),IFERROR(INDEX('Financial Data Input'!$B$7:$G$66,$A39,C$6),NA()))</f>
        <v>1</v>
      </c>
      <c r="D39" s="171">
        <f ca="1">IF(B39="",NA(),IFERROR(INDEX('Financial Data Input'!$B$7:$G$66,$A39,D$6),NA()))</f>
        <v>0.42857142857142855</v>
      </c>
      <c r="E39" s="171">
        <f ca="1">IF(B39="",NA(),IFERROR(INDEX('Financial Data Input'!$B$7:$G$66,$A39,E$6),NA()))</f>
        <v>0.6</v>
      </c>
      <c r="F39" s="171">
        <f ca="1">IF(B39="",NA(),IFERROR(INDEX('Financial Data Input'!$B$7:$G$66,$A39,F$6),NA()))</f>
        <v>0.66666666666666663</v>
      </c>
      <c r="G39" s="171">
        <f ca="1">IF(B39="",NA(),IFERROR(INDEX('Financial Data Input'!$B$7:$G$66,$A39,G$6),NA()))</f>
        <v>0.66666666666666663</v>
      </c>
      <c r="K39" s="235" t="s">
        <v>190</v>
      </c>
    </row>
    <row r="40" spans="1:11" ht="19.5" customHeight="1" x14ac:dyDescent="0.35">
      <c r="A40" s="171">
        <f>ROWS($B$15:B40)</f>
        <v>26</v>
      </c>
      <c r="B40" s="171" t="str">
        <f>IF('Financial Data Input'!B32=0,"",'Financial Data Input'!B32)</f>
        <v>Merchants #</v>
      </c>
      <c r="C40" s="171">
        <f ca="1">IF(B40="",NA(),IFERROR(INDEX('Financial Data Input'!$B$7:$G$66,$A40,C$6),NA()))</f>
        <v>1</v>
      </c>
      <c r="D40" s="171">
        <f ca="1">IF(B40="",NA(),IFERROR(INDEX('Financial Data Input'!$B$7:$G$66,$A40,D$6),NA()))</f>
        <v>1</v>
      </c>
      <c r="E40" s="171">
        <f ca="1">IF(B40="",NA(),IFERROR(INDEX('Financial Data Input'!$B$7:$G$66,$A40,E$6),NA()))</f>
        <v>1</v>
      </c>
      <c r="F40" s="171">
        <f ca="1">IF(B40="",NA(),IFERROR(INDEX('Financial Data Input'!$B$7:$G$66,$A40,F$6),NA()))</f>
        <v>1</v>
      </c>
      <c r="G40" s="171">
        <f ca="1">IF(B40="",NA(),IFERROR(INDEX('Financial Data Input'!$B$7:$G$66,$A40,G$6),NA()))</f>
        <v>1</v>
      </c>
      <c r="K40" s="306" t="s">
        <v>100</v>
      </c>
    </row>
    <row r="41" spans="1:11" ht="19.5" customHeight="1" x14ac:dyDescent="0.35">
      <c r="A41" s="171">
        <f>ROWS($B$15:B41)</f>
        <v>27</v>
      </c>
      <c r="B41" s="171" t="str">
        <f>IF('Financial Data Input'!B33=0,"",'Financial Data Input'!B33)</f>
        <v>Merchants Compliant #</v>
      </c>
      <c r="C41" s="171">
        <f ca="1">IF(B41="",NA(),IFERROR(INDEX('Financial Data Input'!$B$7:$G$66,$A41,C$6),NA()))</f>
        <v>1</v>
      </c>
      <c r="D41" s="171">
        <f ca="1">IF(B41="",NA(),IFERROR(INDEX('Financial Data Input'!$B$7:$G$66,$A41,D$6),NA()))</f>
        <v>1</v>
      </c>
      <c r="E41" s="171">
        <f ca="1">IF(B41="",NA(),IFERROR(INDEX('Financial Data Input'!$B$7:$G$66,$A41,E$6),NA()))</f>
        <v>1</v>
      </c>
      <c r="F41" s="171">
        <f ca="1">IF(B41="",NA(),IFERROR(INDEX('Financial Data Input'!$B$7:$G$66,$A41,F$6),NA()))</f>
        <v>1</v>
      </c>
      <c r="G41" s="171">
        <f ca="1">IF(B41="",NA(),IFERROR(INDEX('Financial Data Input'!$B$7:$G$66,$A41,G$6),NA()))</f>
        <v>1</v>
      </c>
      <c r="K41" s="306" t="s">
        <v>100</v>
      </c>
    </row>
    <row r="42" spans="1:11" ht="19.5" customHeight="1" x14ac:dyDescent="0.35">
      <c r="A42" s="171">
        <f>ROWS($B$15:B42)</f>
        <v>28</v>
      </c>
      <c r="B42" s="171" t="str">
        <f>IF('Financial Data Input'!B34=0,"",'Financial Data Input'!B34)</f>
        <v>Merchants Compliant %</v>
      </c>
      <c r="C42" s="171">
        <f ca="1">IF(B42="",NA(),IFERROR(INDEX('Financial Data Input'!$B$7:$G$66,$A42,C$6),NA()))</f>
        <v>1</v>
      </c>
      <c r="D42" s="171">
        <f ca="1">IF(B42="",NA(),IFERROR(INDEX('Financial Data Input'!$B$7:$G$66,$A42,D$6),NA()))</f>
        <v>1</v>
      </c>
      <c r="E42" s="171">
        <f ca="1">IF(B42="",NA(),IFERROR(INDEX('Financial Data Input'!$B$7:$G$66,$A42,E$6),NA()))</f>
        <v>1</v>
      </c>
      <c r="F42" s="171">
        <f ca="1">IF(B42="",NA(),IFERROR(INDEX('Financial Data Input'!$B$7:$G$66,$A42,F$6),NA()))</f>
        <v>1</v>
      </c>
      <c r="G42" s="171">
        <f ca="1">IF(B42="",NA(),IFERROR(INDEX('Financial Data Input'!$B$7:$G$66,$A42,G$6),NA()))</f>
        <v>1</v>
      </c>
      <c r="K42" s="306" t="s">
        <v>100</v>
      </c>
    </row>
    <row r="43" spans="1:11" ht="19.5" customHeight="1" x14ac:dyDescent="0.35">
      <c r="A43" s="171">
        <f>ROWS($B$15:B43)</f>
        <v>29</v>
      </c>
      <c r="B43" s="171" t="str">
        <f>IF('Financial Data Input'!B35=0,"",'Financial Data Input'!B35)</f>
        <v>Sales #</v>
      </c>
      <c r="C43" s="171">
        <f ca="1">IF(B43="",NA(),IFERROR(INDEX('Financial Data Input'!$B$7:$G$66,$A43,C$6),NA()))</f>
        <v>621</v>
      </c>
      <c r="D43" s="171">
        <f ca="1">IF(B43="",NA(),IFERROR(INDEX('Financial Data Input'!$B$7:$G$66,$A43,D$6),NA()))</f>
        <v>703</v>
      </c>
      <c r="E43" s="171">
        <f ca="1">IF(B43="",NA(),IFERROR(INDEX('Financial Data Input'!$B$7:$G$66,$A43,E$6),NA()))</f>
        <v>1013</v>
      </c>
      <c r="F43" s="171">
        <f ca="1">IF(B43="",NA(),IFERROR(INDEX('Financial Data Input'!$B$7:$G$66,$A43,F$6),NA()))</f>
        <v>903</v>
      </c>
      <c r="G43" s="171">
        <f ca="1">IF(B43="",NA(),IFERROR(INDEX('Financial Data Input'!$B$7:$G$66,$A43,G$6),NA()))</f>
        <v>1203</v>
      </c>
      <c r="K43" s="306" t="s">
        <v>100</v>
      </c>
    </row>
    <row r="44" spans="1:11" ht="19.5" customHeight="1" x14ac:dyDescent="0.35">
      <c r="A44" s="171">
        <f>ROWS($B$15:B44)</f>
        <v>30</v>
      </c>
      <c r="B44" s="171" t="str">
        <f>IF('Financial Data Input'!B36=0,"",'Financial Data Input'!B36)</f>
        <v>Sales $</v>
      </c>
      <c r="C44" s="171">
        <f ca="1">IF(B44="",NA(),IFERROR(INDEX('Financial Data Input'!$B$7:$G$66,$A44,C$6),NA()))</f>
        <v>509.85654</v>
      </c>
      <c r="D44" s="171">
        <f ca="1">IF(B44="",NA(),IFERROR(INDEX('Financial Data Input'!$B$7:$G$66,$A44,D$6),NA()))</f>
        <v>502.99849999999998</v>
      </c>
      <c r="E44" s="171">
        <f ca="1">IF(B44="",NA(),IFERROR(INDEX('Financial Data Input'!$B$7:$G$66,$A44,E$6),NA()))</f>
        <v>621.13649999999996</v>
      </c>
      <c r="F44" s="171">
        <f ca="1">IF(B44="",NA(),IFERROR(INDEX('Financial Data Input'!$B$7:$G$66,$A44,F$6),NA()))</f>
        <v>578.15231000000006</v>
      </c>
      <c r="G44" s="171">
        <f ca="1">IF(B44="",NA(),IFERROR(INDEX('Financial Data Input'!$B$7:$G$66,$A44,G$6),NA()))</f>
        <v>719.13699999999994</v>
      </c>
      <c r="K44" s="306" t="s">
        <v>100</v>
      </c>
    </row>
    <row r="45" spans="1:11" ht="19.5" customHeight="1" x14ac:dyDescent="0.35">
      <c r="A45" s="171">
        <f>ROWS($B$15:B45)</f>
        <v>31</v>
      </c>
      <c r="B45" s="171" t="str">
        <f>IF('Financial Data Input'!B37=0,"",'Financial Data Input'!B37)</f>
        <v>Refunds #</v>
      </c>
      <c r="C45" s="171">
        <f ca="1">IF(B45="",NA(),IFERROR(INDEX('Financial Data Input'!$B$7:$G$66,$A45,C$6),NA()))</f>
        <v>42</v>
      </c>
      <c r="D45" s="171">
        <f ca="1">IF(B45="",NA(),IFERROR(INDEX('Financial Data Input'!$B$7:$G$66,$A45,D$6),NA()))</f>
        <v>48</v>
      </c>
      <c r="E45" s="171">
        <f ca="1">IF(B45="",NA(),IFERROR(INDEX('Financial Data Input'!$B$7:$G$66,$A45,E$6),NA()))</f>
        <v>53</v>
      </c>
      <c r="F45" s="171">
        <f ca="1">IF(B45="",NA(),IFERROR(INDEX('Financial Data Input'!$B$7:$G$66,$A45,F$6),NA()))</f>
        <v>64</v>
      </c>
      <c r="G45" s="171">
        <f ca="1">IF(B45="",NA(),IFERROR(INDEX('Financial Data Input'!$B$7:$G$66,$A45,G$6),NA()))</f>
        <v>47</v>
      </c>
      <c r="K45" s="306" t="s">
        <v>100</v>
      </c>
    </row>
    <row r="46" spans="1:11" ht="19.5" customHeight="1" x14ac:dyDescent="0.35">
      <c r="A46" s="171">
        <f>ROWS($B$15:B46)</f>
        <v>32</v>
      </c>
      <c r="B46" s="171" t="str">
        <f>IF('Financial Data Input'!B38=0,"",'Financial Data Input'!B38)</f>
        <v>Refunds $</v>
      </c>
      <c r="C46" s="171">
        <f ca="1">IF(B46="",NA(),IFERROR(INDEX('Financial Data Input'!$B$7:$G$66,$A46,C$6),NA()))</f>
        <v>14.744459999999998</v>
      </c>
      <c r="D46" s="171">
        <f ca="1">IF(B46="",NA(),IFERROR(INDEX('Financial Data Input'!$B$7:$G$66,$A46,D$6),NA()))</f>
        <v>10.981999999999999</v>
      </c>
      <c r="E46" s="171">
        <f ca="1">IF(B46="",NA(),IFERROR(INDEX('Financial Data Input'!$B$7:$G$66,$A46,E$6),NA()))</f>
        <v>15.0824</v>
      </c>
      <c r="F46" s="171">
        <f ca="1">IF(B46="",NA(),IFERROR(INDEX('Financial Data Input'!$B$7:$G$66,$A46,F$6),NA()))</f>
        <v>15.728</v>
      </c>
      <c r="G46" s="171">
        <f ca="1">IF(B46="",NA(),IFERROR(INDEX('Financial Data Input'!$B$7:$G$66,$A46,G$6),NA()))</f>
        <v>15.56</v>
      </c>
      <c r="K46" s="306" t="s">
        <v>100</v>
      </c>
    </row>
    <row r="47" spans="1:11" ht="19.5" customHeight="1" x14ac:dyDescent="0.35">
      <c r="A47" s="171">
        <f>ROWS($B$15:B47)</f>
        <v>33</v>
      </c>
      <c r="B47" s="171" t="str">
        <f>IF('Financial Data Input'!B39=0,"",'Financial Data Input'!B39)</f>
        <v>Authorized Users #</v>
      </c>
      <c r="C47" s="171">
        <f ca="1">IF(B47="",NA(),IFERROR(INDEX('Financial Data Input'!$B$7:$G$66,$A47,C$6),NA()))</f>
        <v>6</v>
      </c>
      <c r="D47" s="171">
        <f ca="1">IF(B47="",NA(),IFERROR(INDEX('Financial Data Input'!$B$7:$G$66,$A47,D$6),NA()))</f>
        <v>7</v>
      </c>
      <c r="E47" s="171">
        <f ca="1">IF(B47="",NA(),IFERROR(INDEX('Financial Data Input'!$B$7:$G$66,$A47,E$6),NA()))</f>
        <v>7</v>
      </c>
      <c r="F47" s="171">
        <f ca="1">IF(B47="",NA(),IFERROR(INDEX('Financial Data Input'!$B$7:$G$66,$A47,F$6),NA()))</f>
        <v>5</v>
      </c>
      <c r="G47" s="171">
        <f ca="1">IF(B47="",NA(),IFERROR(INDEX('Financial Data Input'!$B$7:$G$66,$A47,G$6),NA()))</f>
        <v>6</v>
      </c>
      <c r="K47" s="306" t="s">
        <v>100</v>
      </c>
    </row>
    <row r="48" spans="1:11" ht="19.5" customHeight="1" x14ac:dyDescent="0.35">
      <c r="A48" s="171">
        <f>ROWS($B$15:B48)</f>
        <v>34</v>
      </c>
      <c r="B48" s="171" t="str">
        <f>IF('Financial Data Input'!B40=0,"",'Financial Data Input'!B40)</f>
        <v>Users Up to Date on Training #</v>
      </c>
      <c r="C48" s="171">
        <f ca="1">IF(B48="",NA(),IFERROR(INDEX('Financial Data Input'!$B$7:$G$66,$A48,C$6),NA()))</f>
        <v>4</v>
      </c>
      <c r="D48" s="171">
        <f ca="1">IF(B48="",NA(),IFERROR(INDEX('Financial Data Input'!$B$7:$G$66,$A48,D$6),NA()))</f>
        <v>5</v>
      </c>
      <c r="E48" s="171">
        <f ca="1">IF(B48="",NA(),IFERROR(INDEX('Financial Data Input'!$B$7:$G$66,$A48,E$6),NA()))</f>
        <v>5</v>
      </c>
      <c r="F48" s="171">
        <f ca="1">IF(B48="",NA(),IFERROR(INDEX('Financial Data Input'!$B$7:$G$66,$A48,F$6),NA()))</f>
        <v>5</v>
      </c>
      <c r="G48" s="171">
        <f ca="1">IF(B48="",NA(),IFERROR(INDEX('Financial Data Input'!$B$7:$G$66,$A48,G$6),NA()))</f>
        <v>5</v>
      </c>
      <c r="K48" s="306" t="s">
        <v>100</v>
      </c>
    </row>
    <row r="49" spans="1:11" ht="19.5" customHeight="1" x14ac:dyDescent="0.35">
      <c r="A49" s="171">
        <f>ROWS($B$15:B49)</f>
        <v>35</v>
      </c>
      <c r="B49" s="171" t="str">
        <f>IF('Financial Data Input'!B41=0,"",'Financial Data Input'!B41)</f>
        <v>Users Up to Date on Training %</v>
      </c>
      <c r="C49" s="171">
        <f ca="1">IF(B49="",NA(),IFERROR(INDEX('Financial Data Input'!$B$7:$G$66,$A49,C$6),NA()))</f>
        <v>0.66666666666666663</v>
      </c>
      <c r="D49" s="171">
        <f ca="1">IF(B49="",NA(),IFERROR(INDEX('Financial Data Input'!$B$7:$G$66,$A49,D$6),NA()))</f>
        <v>0.7142857142857143</v>
      </c>
      <c r="E49" s="171">
        <f ca="1">IF(B49="",NA(),IFERROR(INDEX('Financial Data Input'!$B$7:$G$66,$A49,E$6),NA()))</f>
        <v>0.7142857142857143</v>
      </c>
      <c r="F49" s="171">
        <f ca="1">IF(B49="",NA(),IFERROR(INDEX('Financial Data Input'!$B$7:$G$66,$A49,F$6),NA()))</f>
        <v>1</v>
      </c>
      <c r="G49" s="171">
        <f ca="1">IF(B49="",NA(),IFERROR(INDEX('Financial Data Input'!$B$7:$G$66,$A49,G$6),NA()))</f>
        <v>0.83333333333333337</v>
      </c>
      <c r="K49" s="306" t="s">
        <v>100</v>
      </c>
    </row>
    <row r="50" spans="1:11" ht="19.5" customHeight="1" x14ac:dyDescent="0.35">
      <c r="A50" s="171">
        <f>ROWS($B$15:B50)</f>
        <v>36</v>
      </c>
      <c r="B50" s="171" t="str">
        <f>IF('Financial Data Input'!B42=0,"",'Financial Data Input'!B42)</f>
        <v>Final Approvers #</v>
      </c>
      <c r="C50" s="171">
        <f ca="1">IF(B50="",NA(),IFERROR(INDEX('Financial Data Input'!$B$7:$G$66,$A50,C$6),NA()))</f>
        <v>2</v>
      </c>
      <c r="D50" s="171">
        <f ca="1">IF(B50="",NA(),IFERROR(INDEX('Financial Data Input'!$B$7:$G$66,$A50,D$6),NA()))</f>
        <v>6</v>
      </c>
      <c r="E50" s="171">
        <f ca="1">IF(B50="",NA(),IFERROR(INDEX('Financial Data Input'!$B$7:$G$66,$A50,E$6),NA()))</f>
        <v>2</v>
      </c>
      <c r="F50" s="171">
        <f ca="1">IF(B50="",NA(),IFERROR(INDEX('Financial Data Input'!$B$7:$G$66,$A50,F$6),NA()))</f>
        <v>3</v>
      </c>
      <c r="G50" s="171">
        <f ca="1">IF(B50="",NA(),IFERROR(INDEX('Financial Data Input'!$B$7:$G$66,$A50,G$6),NA()))</f>
        <v>3</v>
      </c>
      <c r="K50" s="235" t="s">
        <v>366</v>
      </c>
    </row>
    <row r="51" spans="1:11" ht="19.5" customHeight="1" x14ac:dyDescent="0.35">
      <c r="A51" s="171">
        <f>ROWS($B$15:B51)</f>
        <v>37</v>
      </c>
      <c r="B51" s="171" t="str">
        <f>IF('Financial Data Input'!B43=0,"",'Financial Data Input'!B43)</f>
        <v>Final Approvers Up to Date on Training #</v>
      </c>
      <c r="C51" s="171">
        <f ca="1">IF(B51="",NA(),IFERROR(INDEX('Financial Data Input'!$B$7:$G$66,$A51,C$6),NA()))</f>
        <v>2</v>
      </c>
      <c r="D51" s="171">
        <f ca="1">IF(B51="",NA(),IFERROR(INDEX('Financial Data Input'!$B$7:$G$66,$A51,D$6),NA()))</f>
        <v>2</v>
      </c>
      <c r="E51" s="171">
        <f ca="1">IF(B51="",NA(),IFERROR(INDEX('Financial Data Input'!$B$7:$G$66,$A51,E$6),NA()))</f>
        <v>1</v>
      </c>
      <c r="F51" s="171">
        <f ca="1">IF(B51="",NA(),IFERROR(INDEX('Financial Data Input'!$B$7:$G$66,$A51,F$6),NA()))</f>
        <v>1</v>
      </c>
      <c r="G51" s="171">
        <f ca="1">IF(B51="",NA(),IFERROR(INDEX('Financial Data Input'!$B$7:$G$66,$A51,G$6),NA()))</f>
        <v>2</v>
      </c>
      <c r="K51" s="235" t="s">
        <v>366</v>
      </c>
    </row>
    <row r="52" spans="1:11" ht="19.5" customHeight="1" x14ac:dyDescent="0.35">
      <c r="A52" s="171">
        <f>ROWS($B$15:B52)</f>
        <v>38</v>
      </c>
      <c r="B52" s="171" t="str">
        <f>IF('Financial Data Input'!B44=0,"",'Financial Data Input'!B44)</f>
        <v>Final Approvers Up to Date on Training %</v>
      </c>
      <c r="C52" s="171">
        <f ca="1">IF(B52="",NA(),IFERROR(INDEX('Financial Data Input'!$B$7:$G$66,$A52,C$6),NA()))</f>
        <v>1</v>
      </c>
      <c r="D52" s="171">
        <f ca="1">IF(B52="",NA(),IFERROR(INDEX('Financial Data Input'!$B$7:$G$66,$A52,D$6),NA()))</f>
        <v>0.33333333333333331</v>
      </c>
      <c r="E52" s="171">
        <f ca="1">IF(B52="",NA(),IFERROR(INDEX('Financial Data Input'!$B$7:$G$66,$A52,E$6),NA()))</f>
        <v>0.5</v>
      </c>
      <c r="F52" s="171">
        <f ca="1">IF(B52="",NA(),IFERROR(INDEX('Financial Data Input'!$B$7:$G$66,$A52,F$6),NA()))</f>
        <v>0.33333333333333331</v>
      </c>
      <c r="G52" s="171">
        <f ca="1">IF(B52="",NA(),IFERROR(INDEX('Financial Data Input'!$B$7:$G$66,$A52,G$6),NA()))</f>
        <v>0.66666666666666663</v>
      </c>
      <c r="K52" s="235" t="s">
        <v>366</v>
      </c>
    </row>
    <row r="53" spans="1:11" ht="19.5" customHeight="1" x14ac:dyDescent="0.35">
      <c r="A53" s="171">
        <f>ROWS($B$15:B53)</f>
        <v>39</v>
      </c>
      <c r="B53" s="171" t="str">
        <f>IF('Financial Data Input'!B45=0,"",'Financial Data Input'!B45)</f>
        <v>Gift Fund Balance $</v>
      </c>
      <c r="C53" s="171">
        <f ca="1">IF(B53="",NA(),IFERROR(INDEX('Financial Data Input'!$B$7:$G$66,$A53,C$6),NA()))</f>
        <v>3697.0396700000028</v>
      </c>
      <c r="D53" s="171">
        <f ca="1">IF(B53="",NA(),IFERROR(INDEX('Financial Data Input'!$B$7:$G$66,$A53,D$6),NA()))</f>
        <v>3623.8218299999994</v>
      </c>
      <c r="E53" s="171">
        <f ca="1">IF(B53="",NA(),IFERROR(INDEX('Financial Data Input'!$B$7:$G$66,$A53,E$6),NA()))</f>
        <v>3526.1492800000005</v>
      </c>
      <c r="F53" s="171">
        <f ca="1">IF(B53="",NA(),IFERROR(INDEX('Financial Data Input'!$B$7:$G$66,$A53,F$6),NA()))</f>
        <v>3440.3598899999988</v>
      </c>
      <c r="G53" s="171">
        <f ca="1">IF(B53="",NA(),IFERROR(INDEX('Financial Data Input'!$B$7:$G$66,$A53,G$6),NA()))</f>
        <v>3393.2322999999978</v>
      </c>
      <c r="K53" s="306" t="s">
        <v>89</v>
      </c>
    </row>
    <row r="54" spans="1:11" ht="19.5" customHeight="1" x14ac:dyDescent="0.35">
      <c r="A54" s="171">
        <f>ROWS($B$15:B54)</f>
        <v>40</v>
      </c>
      <c r="B54" s="171" t="str">
        <f>IF('Financial Data Input'!B46=0,"",'Financial Data Input'!B46)</f>
        <v>No Expenses &gt; 5 years #</v>
      </c>
      <c r="C54" s="171">
        <f ca="1">IF(B54="",NA(),IFERROR(INDEX('Financial Data Input'!$B$7:$G$66,$A54,C$6),NA()))</f>
        <v>9</v>
      </c>
      <c r="D54" s="171">
        <f ca="1">IF(B54="",NA(),IFERROR(INDEX('Financial Data Input'!$B$7:$G$66,$A54,D$6),NA()))</f>
        <v>11</v>
      </c>
      <c r="E54" s="171">
        <f ca="1">IF(B54="",NA(),IFERROR(INDEX('Financial Data Input'!$B$7:$G$66,$A54,E$6),NA()))</f>
        <v>8</v>
      </c>
      <c r="F54" s="171">
        <f ca="1">IF(B54="",NA(),IFERROR(INDEX('Financial Data Input'!$B$7:$G$66,$A54,F$6),NA()))</f>
        <v>7</v>
      </c>
      <c r="G54" s="171">
        <f ca="1">IF(B54="",NA(),IFERROR(INDEX('Financial Data Input'!$B$7:$G$66,$A54,G$6),NA()))</f>
        <v>8</v>
      </c>
      <c r="K54" s="306" t="s">
        <v>89</v>
      </c>
    </row>
    <row r="55" spans="1:11" ht="19.5" customHeight="1" x14ac:dyDescent="0.35">
      <c r="A55" s="171">
        <f>ROWS($B$15:B55)</f>
        <v>41</v>
      </c>
      <c r="B55" s="171" t="str">
        <f>IF('Financial Data Input'!B47=0,"",'Financial Data Input'!B47)</f>
        <v>No Expenses &gt; 5 years Balance $</v>
      </c>
      <c r="C55" s="171">
        <f ca="1">IF(B55="",NA(),IFERROR(INDEX('Financial Data Input'!$B$7:$G$66,$A55,C$6),NA()))</f>
        <v>265.12279999999998</v>
      </c>
      <c r="D55" s="171">
        <f ca="1">IF(B55="",NA(),IFERROR(INDEX('Financial Data Input'!$B$7:$G$66,$A55,D$6),NA()))</f>
        <v>300.30802</v>
      </c>
      <c r="E55" s="171">
        <f ca="1">IF(B55="",NA(),IFERROR(INDEX('Financial Data Input'!$B$7:$G$66,$A55,E$6),NA()))</f>
        <v>115.04312</v>
      </c>
      <c r="F55" s="171">
        <f ca="1">IF(B55="",NA(),IFERROR(INDEX('Financial Data Input'!$B$7:$G$66,$A55,F$6),NA()))</f>
        <v>129.36783</v>
      </c>
      <c r="G55" s="171">
        <f ca="1">IF(B55="",NA(),IFERROR(INDEX('Financial Data Input'!$B$7:$G$66,$A55,G$6),NA()))</f>
        <v>155.04402000000002</v>
      </c>
      <c r="K55" s="306" t="s">
        <v>89</v>
      </c>
    </row>
    <row r="56" spans="1:11" ht="19.5" customHeight="1" x14ac:dyDescent="0.35">
      <c r="A56" s="171">
        <f>ROWS($B$15:B56)</f>
        <v>42</v>
      </c>
      <c r="B56" s="171" t="str">
        <f>IF('Financial Data Input'!B48=0,"",'Financial Data Input'!B48)</f>
        <v>Total Disbursed $</v>
      </c>
      <c r="C56" s="171">
        <f ca="1">IF(B56="",NA(),IFERROR(INDEX('Financial Data Input'!$B$7:$G$66,$A56,C$6),NA()))</f>
        <v>8172.0870000000004</v>
      </c>
      <c r="D56" s="171">
        <f ca="1">IF(B56="",NA(),IFERROR(INDEX('Financial Data Input'!$B$7:$G$66,$A56,D$6),NA()))</f>
        <v>9525.1450000000004</v>
      </c>
      <c r="E56" s="171">
        <f ca="1">IF(B56="",NA(),IFERROR(INDEX('Financial Data Input'!$B$7:$G$66,$A56,E$6),NA()))</f>
        <v>10286.931</v>
      </c>
      <c r="F56" s="171">
        <f ca="1">IF(B56="",NA(),IFERROR(INDEX('Financial Data Input'!$B$7:$G$66,$A56,F$6),NA()))</f>
        <v>10307.286660000003</v>
      </c>
      <c r="G56" s="171">
        <f ca="1">IF(B56="",NA(),IFERROR(INDEX('Financial Data Input'!$B$7:$G$66,$A56,G$6),NA()))</f>
        <v>9825.0190900000052</v>
      </c>
      <c r="K56" s="235" t="s">
        <v>386</v>
      </c>
    </row>
    <row r="57" spans="1:11" ht="19.5" customHeight="1" x14ac:dyDescent="0.35">
      <c r="A57" s="171">
        <f>ROWS($B$15:B57)</f>
        <v>43</v>
      </c>
      <c r="B57" s="171" t="str">
        <f>IF('Financial Data Input'!B49=0,"",'Financial Data Input'!B49)</f>
        <v>Overrides $</v>
      </c>
      <c r="C57" s="171">
        <f ca="1">IF(B57="",NA(),IFERROR(INDEX('Financial Data Input'!$B$7:$G$66,$A57,C$6),NA()))</f>
        <v>417.69499999999999</v>
      </c>
      <c r="D57" s="171">
        <f ca="1">IF(B57="",NA(),IFERROR(INDEX('Financial Data Input'!$B$7:$G$66,$A57,D$6),NA()))</f>
        <v>777.47900000000004</v>
      </c>
      <c r="E57" s="171">
        <f ca="1">IF(B57="",NA(),IFERROR(INDEX('Financial Data Input'!$B$7:$G$66,$A57,E$6),NA()))</f>
        <v>986.779</v>
      </c>
      <c r="F57" s="171">
        <f ca="1">IF(B57="",NA(),IFERROR(INDEX('Financial Data Input'!$B$7:$G$66,$A57,F$6),NA()))</f>
        <v>624.94149000000004</v>
      </c>
      <c r="G57" s="171">
        <f ca="1">IF(B57="",NA(),IFERROR(INDEX('Financial Data Input'!$B$7:$G$66,$A57,G$6),NA()))</f>
        <v>680.20810999999969</v>
      </c>
      <c r="K57" s="235" t="s">
        <v>386</v>
      </c>
    </row>
    <row r="58" spans="1:11" ht="19.5" customHeight="1" x14ac:dyDescent="0.35">
      <c r="A58" s="171">
        <f>ROWS($B$15:B58)</f>
        <v>44</v>
      </c>
      <c r="B58" s="171" t="str">
        <f>IF('Financial Data Input'!B50=0,"",'Financial Data Input'!B50)</f>
        <v>Overrides %</v>
      </c>
      <c r="C58" s="171">
        <f ca="1">IF(B58="",NA(),IFERROR(INDEX('Financial Data Input'!$B$7:$G$66,$A58,C$6),NA()))</f>
        <v>5.111240249889655E-2</v>
      </c>
      <c r="D58" s="171">
        <f ca="1">IF(B58="",NA(),IFERROR(INDEX('Financial Data Input'!$B$7:$G$66,$A58,D$6),NA()))</f>
        <v>8.1623849295732506E-2</v>
      </c>
      <c r="E58" s="171">
        <f ca="1">IF(B58="",NA(),IFERROR(INDEX('Financial Data Input'!$B$7:$G$66,$A58,E$6),NA()))</f>
        <v>9.592550003494725E-2</v>
      </c>
      <c r="F58" s="171">
        <f ca="1">IF(B58="",NA(),IFERROR(INDEX('Financial Data Input'!$B$7:$G$66,$A58,F$6),NA()))</f>
        <v>6.0631038081558487E-2</v>
      </c>
      <c r="G58" s="171">
        <f ca="1">IF(B58="",NA(),IFERROR(INDEX('Financial Data Input'!$B$7:$G$66,$A58,G$6),NA()))</f>
        <v>6.9232243089717926E-2</v>
      </c>
      <c r="K58" s="235" t="s">
        <v>386</v>
      </c>
    </row>
    <row r="59" spans="1:11" ht="19.5" customHeight="1" x14ac:dyDescent="0.35">
      <c r="A59" s="171">
        <f>ROWS($B$15:B59)</f>
        <v>45</v>
      </c>
      <c r="B59" s="171" t="str">
        <f>IF('Financial Data Input'!B51=0,"",'Financial Data Input'!B51)</f>
        <v>No Disbursement Rules Applied (DR4) $</v>
      </c>
      <c r="C59" s="171">
        <f ca="1">IF(B59="",NA(),IFERROR(INDEX('Financial Data Input'!$B$7:$G$66,$A59,C$6),NA()))</f>
        <v>490.185</v>
      </c>
      <c r="D59" s="171">
        <f ca="1">IF(B59="",NA(),IFERROR(INDEX('Financial Data Input'!$B$7:$G$66,$A59,D$6),NA()))</f>
        <v>597.76400000000001</v>
      </c>
      <c r="E59" s="171">
        <f ca="1">IF(B59="",NA(),IFERROR(INDEX('Financial Data Input'!$B$7:$G$66,$A59,E$6),NA()))</f>
        <v>704.60400000000004</v>
      </c>
      <c r="F59" s="171">
        <f ca="1">IF(B59="",NA(),IFERROR(INDEX('Financial Data Input'!$B$7:$G$66,$A59,F$6),NA()))</f>
        <v>732.55997999999977</v>
      </c>
      <c r="G59" s="171">
        <f ca="1">IF(B59="",NA(),IFERROR(INDEX('Financial Data Input'!$B$7:$G$66,$A59,G$6),NA()))</f>
        <v>642.33908000000008</v>
      </c>
      <c r="K59" s="235" t="s">
        <v>386</v>
      </c>
    </row>
    <row r="60" spans="1:11" ht="19.5" customHeight="1" x14ac:dyDescent="0.35">
      <c r="A60" s="171">
        <f>ROWS($B$15:B60)</f>
        <v>46</v>
      </c>
      <c r="B60" s="171" t="str">
        <f>IF('Financial Data Input'!B52=0,"",'Financial Data Input'!B52)</f>
        <v>No Disbursement Rules Applied (DR4) %</v>
      </c>
      <c r="C60" s="171">
        <f ca="1">IF(B60="",NA(),IFERROR(INDEX('Financial Data Input'!$B$7:$G$66,$A60,C$6),NA()))</f>
        <v>5.9982841592361905E-2</v>
      </c>
      <c r="D60" s="171">
        <f ca="1">IF(B60="",NA(),IFERROR(INDEX('Financial Data Input'!$B$7:$G$66,$A60,D$6),NA()))</f>
        <v>6.2756419981008157E-2</v>
      </c>
      <c r="E60" s="171">
        <f ca="1">IF(B60="",NA(),IFERROR(INDEX('Financial Data Input'!$B$7:$G$66,$A60,E$6),NA()))</f>
        <v>6.8495064271355571E-2</v>
      </c>
      <c r="F60" s="171">
        <f ca="1">IF(B60="",NA(),IFERROR(INDEX('Financial Data Input'!$B$7:$G$66,$A60,F$6),NA()))</f>
        <v>7.10720487519651E-2</v>
      </c>
      <c r="G60" s="171">
        <f ca="1">IF(B60="",NA(),IFERROR(INDEX('Financial Data Input'!$B$7:$G$66,$A60,G$6),NA()))</f>
        <v>6.5377896380250156E-2</v>
      </c>
      <c r="K60" s="235" t="s">
        <v>386</v>
      </c>
    </row>
    <row r="61" spans="1:11" ht="19.5" customHeight="1" x14ac:dyDescent="0.35">
      <c r="A61" s="171">
        <f>ROWS($B$15:B61)</f>
        <v>47</v>
      </c>
      <c r="B61" s="171" t="str">
        <f>IF('Financial Data Input'!B53=0,"",'Financial Data Input'!B53)</f>
        <v>Non Traditional Students #</v>
      </c>
      <c r="C61" s="171">
        <f ca="1">IF(B61="",NA(),IFERROR(INDEX('Financial Data Input'!$B$7:$G$66,$A61,C$6),NA()))</f>
        <v>1</v>
      </c>
      <c r="D61" s="171">
        <f ca="1">IF(B61="",NA(),IFERROR(INDEX('Financial Data Input'!$B$7:$G$66,$A61,D$6),NA()))</f>
        <v>0</v>
      </c>
      <c r="E61" s="171">
        <f ca="1">IF(B61="",NA(),IFERROR(INDEX('Financial Data Input'!$B$7:$G$66,$A61,E$6),NA()))</f>
        <v>0</v>
      </c>
      <c r="F61" s="171">
        <f ca="1">IF(B61="",NA(),IFERROR(INDEX('Financial Data Input'!$B$7:$G$66,$A61,F$6),NA()))</f>
        <v>0</v>
      </c>
      <c r="G61" s="171">
        <f ca="1">IF(B61="",NA(),IFERROR(INDEX('Financial Data Input'!$B$7:$G$66,$A61,G$6),NA()))</f>
        <v>0</v>
      </c>
      <c r="K61" s="235" t="s">
        <v>386</v>
      </c>
    </row>
    <row r="62" spans="1:11" ht="19.5" customHeight="1" x14ac:dyDescent="0.35">
      <c r="A62" s="171">
        <f>ROWS($B$15:B62)</f>
        <v>48</v>
      </c>
      <c r="B62" s="171" t="str">
        <f>IF('Financial Data Input'!B54=0,"",'Financial Data Input'!B54)</f>
        <v>Non Traditional Students $</v>
      </c>
      <c r="C62" s="171">
        <f ca="1">IF(B62="",NA(),IFERROR(INDEX('Financial Data Input'!$B$7:$G$66,$A62,C$6),NA()))</f>
        <v>0.75</v>
      </c>
      <c r="D62" s="171">
        <f ca="1">IF(B62="",NA(),IFERROR(INDEX('Financial Data Input'!$B$7:$G$66,$A62,D$6),NA()))</f>
        <v>0</v>
      </c>
      <c r="E62" s="171">
        <f ca="1">IF(B62="",NA(),IFERROR(INDEX('Financial Data Input'!$B$7:$G$66,$A62,E$6),NA()))</f>
        <v>0</v>
      </c>
      <c r="F62" s="171">
        <f ca="1">IF(B62="",NA(),IFERROR(INDEX('Financial Data Input'!$B$7:$G$66,$A62,F$6),NA()))</f>
        <v>0</v>
      </c>
      <c r="G62" s="171">
        <f ca="1">IF(B62="",NA(),IFERROR(INDEX('Financial Data Input'!$B$7:$G$66,$A62,G$6),NA()))</f>
        <v>0</v>
      </c>
      <c r="K62" s="235" t="s">
        <v>386</v>
      </c>
    </row>
    <row r="63" spans="1:11" ht="19.5" customHeight="1" x14ac:dyDescent="0.35">
      <c r="A63" s="171">
        <f>ROWS($B$15:B63)</f>
        <v>49</v>
      </c>
      <c r="B63" s="171" t="str">
        <f>IF('Financial Data Input'!B55=0,"",'Financial Data Input'!B55)</f>
        <v>Total Assets #</v>
      </c>
      <c r="C63" s="171">
        <f ca="1">IF(B63="",NA(),IFERROR(INDEX('Financial Data Input'!$B$7:$G$66,$A63,C$6),NA()))</f>
        <v>7</v>
      </c>
      <c r="D63" s="171">
        <f ca="1">IF(B63="",NA(),IFERROR(INDEX('Financial Data Input'!$B$7:$G$66,$A63,D$6),NA()))</f>
        <v>6</v>
      </c>
      <c r="E63" s="171">
        <f ca="1">IF(B63="",NA(),IFERROR(INDEX('Financial Data Input'!$B$7:$G$66,$A63,E$6),NA()))</f>
        <v>6</v>
      </c>
      <c r="F63" s="171">
        <f ca="1">IF(B63="",NA(),IFERROR(INDEX('Financial Data Input'!$B$7:$G$66,$A63,F$6),NA()))</f>
        <v>22</v>
      </c>
      <c r="G63" s="171">
        <f ca="1">IF(B63="",NA(),IFERROR(INDEX('Financial Data Input'!$B$7:$G$66,$A63,G$6),NA()))</f>
        <v>22</v>
      </c>
      <c r="K63" s="306" t="s">
        <v>387</v>
      </c>
    </row>
    <row r="64" spans="1:11" ht="19.5" customHeight="1" x14ac:dyDescent="0.35">
      <c r="A64" s="171">
        <f>ROWS($B$15:B64)</f>
        <v>50</v>
      </c>
      <c r="B64" s="171" t="str">
        <f>IF('Financial Data Input'!B56=0,"",'Financial Data Input'!B56)</f>
        <v>Blank Custodians #</v>
      </c>
      <c r="C64" s="171">
        <f ca="1">IF(B64="",NA(),IFERROR(INDEX('Financial Data Input'!$B$7:$G$66,$A64,C$6),NA()))</f>
        <v>0</v>
      </c>
      <c r="D64" s="171">
        <f ca="1">IF(B64="",NA(),IFERROR(INDEX('Financial Data Input'!$B$7:$G$66,$A64,D$6),NA()))</f>
        <v>6</v>
      </c>
      <c r="E64" s="171">
        <f ca="1">IF(B64="",NA(),IFERROR(INDEX('Financial Data Input'!$B$7:$G$66,$A64,E$6),NA()))</f>
        <v>0</v>
      </c>
      <c r="F64" s="171">
        <f ca="1">IF(B64="",NA(),IFERROR(INDEX('Financial Data Input'!$B$7:$G$66,$A64,F$6),NA()))</f>
        <v>0</v>
      </c>
      <c r="G64" s="171">
        <f ca="1">IF(B64="",NA(),IFERROR(INDEX('Financial Data Input'!$B$7:$G$66,$A64,G$6),NA()))</f>
        <v>0</v>
      </c>
      <c r="K64" s="306" t="s">
        <v>387</v>
      </c>
    </row>
    <row r="65" spans="1:11" ht="19.5" customHeight="1" x14ac:dyDescent="0.35">
      <c r="A65" s="171">
        <f>ROWS($B$15:B65)</f>
        <v>51</v>
      </c>
      <c r="B65" s="171" t="str">
        <f>IF('Financial Data Input'!B57=0,"",'Financial Data Input'!B57)</f>
        <v>Blank Custodians %</v>
      </c>
      <c r="C65" s="171">
        <f ca="1">IF(B65="",NA(),IFERROR(INDEX('Financial Data Input'!$B$7:$G$66,$A65,C$6),NA()))</f>
        <v>0</v>
      </c>
      <c r="D65" s="171">
        <f ca="1">IF(B65="",NA(),IFERROR(INDEX('Financial Data Input'!$B$7:$G$66,$A65,D$6),NA()))</f>
        <v>1</v>
      </c>
      <c r="E65" s="171">
        <f ca="1">IF(B65="",NA(),IFERROR(INDEX('Financial Data Input'!$B$7:$G$66,$A65,E$6),NA()))</f>
        <v>0</v>
      </c>
      <c r="F65" s="171">
        <f ca="1">IF(B65="",NA(),IFERROR(INDEX('Financial Data Input'!$B$7:$G$66,$A65,F$6),NA()))</f>
        <v>0</v>
      </c>
      <c r="G65" s="171">
        <f ca="1">IF(B65="",NA(),IFERROR(INDEX('Financial Data Input'!$B$7:$G$66,$A65,G$6),NA()))</f>
        <v>0</v>
      </c>
      <c r="K65" s="306" t="s">
        <v>387</v>
      </c>
    </row>
    <row r="66" spans="1:11" ht="19.5" customHeight="1" x14ac:dyDescent="0.35">
      <c r="A66" s="171">
        <f>ROWS($B$15:B66)</f>
        <v>52</v>
      </c>
      <c r="B66" s="171" t="str">
        <f>IF('Financial Data Input'!B58=0,"",'Financial Data Input'!B58)</f>
        <v>Total Assets #</v>
      </c>
      <c r="C66" s="171">
        <f ca="1">IF(B66="",NA(),IFERROR(INDEX('Financial Data Input'!$B$7:$G$66,$A66,C$6),NA()))</f>
        <v>0</v>
      </c>
      <c r="D66" s="171">
        <f ca="1">IF(B66="",NA(),IFERROR(INDEX('Financial Data Input'!$B$7:$G$66,$A66,D$6),NA()))</f>
        <v>0</v>
      </c>
      <c r="E66" s="171">
        <f ca="1">IF(B66="",NA(),IFERROR(INDEX('Financial Data Input'!$B$7:$G$66,$A66,E$6),NA()))</f>
        <v>0</v>
      </c>
      <c r="F66" s="171">
        <f ca="1">IF(B66="",NA(),IFERROR(INDEX('Financial Data Input'!$B$7:$G$66,$A66,F$6),NA()))</f>
        <v>0</v>
      </c>
      <c r="G66" s="171">
        <f ca="1">IF(B66="",NA(),IFERROR(INDEX('Financial Data Input'!$B$7:$G$66,$A66,G$6),NA()))</f>
        <v>0</v>
      </c>
      <c r="K66" s="235" t="s">
        <v>388</v>
      </c>
    </row>
    <row r="67" spans="1:11" ht="19.5" customHeight="1" x14ac:dyDescent="0.35">
      <c r="A67" s="171">
        <f>ROWS($B$15:B67)</f>
        <v>53</v>
      </c>
      <c r="B67" s="171" t="str">
        <f>IF('Financial Data Input'!B59=0,"",'Financial Data Input'!B59)</f>
        <v>% of Total Assets</v>
      </c>
      <c r="C67" s="171">
        <f ca="1">IF(B67="",NA(),IFERROR(INDEX('Financial Data Input'!$B$7:$G$66,$A67,C$6),NA()))</f>
        <v>0</v>
      </c>
      <c r="D67" s="171">
        <f ca="1">IF(B67="",NA(),IFERROR(INDEX('Financial Data Input'!$B$7:$G$66,$A67,D$6),NA()))</f>
        <v>0</v>
      </c>
      <c r="E67" s="171">
        <f ca="1">IF(B67="",NA(),IFERROR(INDEX('Financial Data Input'!$B$7:$G$66,$A67,E$6),NA()))</f>
        <v>0</v>
      </c>
      <c r="F67" s="171">
        <f ca="1">IF(B67="",NA(),IFERROR(INDEX('Financial Data Input'!$B$7:$G$66,$A67,F$6),NA()))</f>
        <v>0</v>
      </c>
      <c r="G67" s="171">
        <f ca="1">IF(B67="",NA(),IFERROR(INDEX('Financial Data Input'!$B$7:$G$66,$A67,G$6),NA()))</f>
        <v>0</v>
      </c>
      <c r="K67" s="235" t="s">
        <v>388</v>
      </c>
    </row>
    <row r="68" spans="1:11" ht="19.5" customHeight="1" x14ac:dyDescent="0.35">
      <c r="A68" s="171">
        <f>ROWS($B$15:B68)</f>
        <v>54</v>
      </c>
      <c r="B68" s="171" t="str">
        <f>IF('Financial Data Input'!B60=0,"",'Financial Data Input'!B60)</f>
        <v>Travel &amp; Expense Spend</v>
      </c>
      <c r="C68" s="171">
        <f ca="1">IF(B68="",NA(),IFERROR(INDEX('Financial Data Input'!$B$7:$G$66,$A68,C$6),NA()))</f>
        <v>837.72540000000151</v>
      </c>
      <c r="D68" s="171">
        <f ca="1">IF(B68="",NA(),IFERROR(INDEX('Financial Data Input'!$B$7:$G$66,$A68,D$6),NA()))</f>
        <v>1042.6496700000012</v>
      </c>
      <c r="E68" s="171">
        <f ca="1">IF(B68="",NA(),IFERROR(INDEX('Financial Data Input'!$B$7:$G$66,$A68,E$6),NA()))</f>
        <v>1176.8349500000008</v>
      </c>
      <c r="F68" s="171">
        <f ca="1">IF(B68="",NA(),IFERROR(INDEX('Financial Data Input'!$B$7:$G$66,$A68,F$6),NA()))</f>
        <v>905.22874000000115</v>
      </c>
      <c r="G68" s="171">
        <f ca="1">IF(B68="",NA(),IFERROR(INDEX('Financial Data Input'!$B$7:$G$66,$A68,G$6),NA()))</f>
        <v>241.6509699999998</v>
      </c>
      <c r="K68" s="306" t="s">
        <v>336</v>
      </c>
    </row>
    <row r="69" spans="1:11" ht="19.5" customHeight="1" x14ac:dyDescent="0.35">
      <c r="A69" s="171">
        <f>ROWS($B$15:B69)</f>
        <v>55</v>
      </c>
      <c r="B69" s="171" t="str">
        <f>IF('Financial Data Input'!B61=0,"",'Financial Data Input'!B61)</f>
        <v>Travel Spend</v>
      </c>
      <c r="C69" s="171">
        <f ca="1">IF(B69="",NA(),IFERROR(INDEX('Financial Data Input'!$B$7:$G$66,$A69,C$6),NA()))</f>
        <v>650.50503000000163</v>
      </c>
      <c r="D69" s="171">
        <f ca="1">IF(B69="",NA(),IFERROR(INDEX('Financial Data Input'!$B$7:$G$66,$A69,D$6),NA()))</f>
        <v>782.34963000000118</v>
      </c>
      <c r="E69" s="171">
        <f ca="1">IF(B69="",NA(),IFERROR(INDEX('Financial Data Input'!$B$7:$G$66,$A69,E$6),NA()))</f>
        <v>817.97506000000101</v>
      </c>
      <c r="F69" s="171">
        <f ca="1">IF(B69="",NA(),IFERROR(INDEX('Financial Data Input'!$B$7:$G$66,$A69,F$6),NA()))</f>
        <v>532.02860000000078</v>
      </c>
      <c r="G69" s="171">
        <f ca="1">IF(B69="",NA(),IFERROR(INDEX('Financial Data Input'!$B$7:$G$66,$A69,G$6),NA()))</f>
        <v>19.364020000000011</v>
      </c>
      <c r="K69" s="306" t="s">
        <v>336</v>
      </c>
    </row>
    <row r="70" spans="1:11" ht="19.5" customHeight="1" x14ac:dyDescent="0.35">
      <c r="A70" s="171">
        <f>ROWS($B$15:B70)</f>
        <v>56</v>
      </c>
      <c r="B70" s="171" t="str">
        <f>IF('Financial Data Input'!B62=0,"",'Financial Data Input'!B62)</f>
        <v>Other Spend</v>
      </c>
      <c r="C70" s="171">
        <f ca="1">IF(B70="",NA(),IFERROR(INDEX('Financial Data Input'!$B$7:$G$66,$A70,C$6),NA()))</f>
        <v>187.22036999999995</v>
      </c>
      <c r="D70" s="171">
        <f ca="1">IF(B70="",NA(),IFERROR(INDEX('Financial Data Input'!$B$7:$G$66,$A70,D$6),NA()))</f>
        <v>260.30003999999991</v>
      </c>
      <c r="E70" s="171">
        <f ca="1">IF(B70="",NA(),IFERROR(INDEX('Financial Data Input'!$B$7:$G$66,$A70,E$6),NA()))</f>
        <v>358.85988999999984</v>
      </c>
      <c r="F70" s="171">
        <f ca="1">IF(B70="",NA(),IFERROR(INDEX('Financial Data Input'!$B$7:$G$66,$A70,F$6),NA()))</f>
        <v>373.20014000000037</v>
      </c>
      <c r="G70" s="171">
        <f ca="1">IF(B70="",NA(),IFERROR(INDEX('Financial Data Input'!$B$7:$G$66,$A70,G$6),NA()))</f>
        <v>222.28694999999979</v>
      </c>
      <c r="K70" s="306" t="s">
        <v>336</v>
      </c>
    </row>
    <row r="71" spans="1:11" ht="19.5" customHeight="1" x14ac:dyDescent="0.35">
      <c r="A71" s="171">
        <f>ROWS($B$15:B71)</f>
        <v>57</v>
      </c>
      <c r="B71" s="171" t="str">
        <f>IF('Financial Data Input'!B63=0,"",'Financial Data Input'!B63)</f>
        <v>Unused Metric</v>
      </c>
      <c r="C71" s="171">
        <f ca="1">IF(B71="",NA(),IFERROR(INDEX('Financial Data Input'!$B$7:$G$66,$A71,C$6),NA()))</f>
        <v>0</v>
      </c>
      <c r="D71" s="171">
        <f ca="1">IF(B71="",NA(),IFERROR(INDEX('Financial Data Input'!$B$7:$G$66,$A71,D$6),NA()))</f>
        <v>0</v>
      </c>
      <c r="E71" s="171">
        <f ca="1">IF(B71="",NA(),IFERROR(INDEX('Financial Data Input'!$B$7:$G$66,$A71,E$6),NA()))</f>
        <v>0</v>
      </c>
      <c r="F71" s="171">
        <f ca="1">IF(B71="",NA(),IFERROR(INDEX('Financial Data Input'!$B$7:$G$66,$A71,F$6),NA()))</f>
        <v>0</v>
      </c>
      <c r="G71" s="171">
        <f ca="1">IF(B71="",NA(),IFERROR(INDEX('Financial Data Input'!$B$7:$G$66,$A71,G$6),NA()))</f>
        <v>0</v>
      </c>
    </row>
    <row r="72" spans="1:11" ht="19.5" customHeight="1" x14ac:dyDescent="0.35">
      <c r="A72" s="171">
        <f>ROWS($B$15:B72)</f>
        <v>58</v>
      </c>
      <c r="B72" s="171" t="str">
        <f>IF('Financial Data Input'!B64=0,"",'Financial Data Input'!B64)</f>
        <v>METRIC 49</v>
      </c>
      <c r="C72" s="171">
        <f ca="1">IF(B72="",NA(),IFERROR(INDEX('Financial Data Input'!$B$7:$G$66,$A72,C$6),NA()))</f>
        <v>0</v>
      </c>
      <c r="D72" s="171">
        <f ca="1">IF(B72="",NA(),IFERROR(INDEX('Financial Data Input'!$B$7:$G$66,$A72,D$6),NA()))</f>
        <v>0</v>
      </c>
      <c r="E72" s="171">
        <f ca="1">IF(B72="",NA(),IFERROR(INDEX('Financial Data Input'!$B$7:$G$66,$A72,E$6),NA()))</f>
        <v>0</v>
      </c>
      <c r="F72" s="171">
        <f ca="1">IF(B72="",NA(),IFERROR(INDEX('Financial Data Input'!$B$7:$G$66,$A72,F$6),NA()))</f>
        <v>0</v>
      </c>
      <c r="G72" s="171">
        <f ca="1">IF(B72="",NA(),IFERROR(INDEX('Financial Data Input'!$B$7:$G$66,$A72,G$6),NA()))</f>
        <v>0</v>
      </c>
    </row>
    <row r="73" spans="1:11" ht="19.5" customHeight="1" x14ac:dyDescent="0.35">
      <c r="A73" s="171">
        <f>ROWS($B$15:B73)</f>
        <v>59</v>
      </c>
      <c r="B73" s="171" t="str">
        <f>IF('Financial Data Input'!B65=0,"",'Financial Data Input'!B65)</f>
        <v>METRIC 50</v>
      </c>
      <c r="C73" s="171">
        <f ca="1">IF(B73="",NA(),IFERROR(INDEX('Financial Data Input'!$B$7:$G$66,$A73,C$6),NA()))</f>
        <v>0</v>
      </c>
      <c r="D73" s="171">
        <f ca="1">IF(B73="",NA(),IFERROR(INDEX('Financial Data Input'!$B$7:$G$66,$A73,D$6),NA()))</f>
        <v>0</v>
      </c>
      <c r="E73" s="171">
        <f ca="1">IF(B73="",NA(),IFERROR(INDEX('Financial Data Input'!$B$7:$G$66,$A73,E$6),NA()))</f>
        <v>0</v>
      </c>
      <c r="F73" s="171">
        <f ca="1">IF(B73="",NA(),IFERROR(INDEX('Financial Data Input'!$B$7:$G$66,$A73,F$6),NA()))</f>
        <v>0</v>
      </c>
      <c r="G73" s="171">
        <f ca="1">IF(B73="",NA(),IFERROR(INDEX('Financial Data Input'!$B$7:$G$66,$A73,G$6),NA()))</f>
        <v>0</v>
      </c>
    </row>
  </sheetData>
  <pageMargins left="0.7" right="0.7" top="0.75" bottom="0.75" header="0.3" footer="0.3"/>
  <pageSetup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B1:I66"/>
  <sheetViews>
    <sheetView showGridLines="0" zoomScaleNormal="100" workbookViewId="0">
      <pane ySplit="6" topLeftCell="A57" activePane="bottomLeft" state="frozen"/>
      <selection activeCell="D5" sqref="D5:E5"/>
      <selection pane="bottomLeft" activeCell="D5" sqref="D5:E5"/>
    </sheetView>
  </sheetViews>
  <sheetFormatPr defaultColWidth="9.1796875" defaultRowHeight="30" customHeight="1" x14ac:dyDescent="0.35"/>
  <cols>
    <col min="1" max="1" width="1.81640625" style="171" customWidth="1"/>
    <col min="2" max="2" width="24.453125" style="171" customWidth="1"/>
    <col min="3" max="7" width="19.7265625" style="171" customWidth="1"/>
    <col min="8" max="8" width="1.81640625" style="171" customWidth="1"/>
    <col min="9" max="9" width="9.1796875" style="297"/>
    <col min="10" max="16384" width="9.1796875" style="171"/>
  </cols>
  <sheetData>
    <row r="1" spans="2:9" ht="8.25" customHeight="1" x14ac:dyDescent="0.35">
      <c r="B1" s="414" t="s">
        <v>225</v>
      </c>
      <c r="C1" s="414"/>
      <c r="D1" s="414"/>
      <c r="E1" s="414"/>
      <c r="F1" s="414"/>
      <c r="G1" s="414"/>
    </row>
    <row r="2" spans="2:9" ht="38.25" customHeight="1" x14ac:dyDescent="0.35">
      <c r="B2" s="414"/>
      <c r="C2" s="414"/>
      <c r="D2" s="414"/>
      <c r="E2" s="414"/>
      <c r="F2" s="414"/>
      <c r="G2" s="414"/>
      <c r="I2" s="214" t="s">
        <v>250</v>
      </c>
    </row>
    <row r="3" spans="2:9" ht="17.5" x14ac:dyDescent="0.35">
      <c r="B3" s="417" t="s">
        <v>249</v>
      </c>
      <c r="C3" s="417"/>
      <c r="D3" s="417"/>
      <c r="E3" s="417"/>
      <c r="F3" s="417"/>
      <c r="G3" s="417"/>
    </row>
    <row r="4" spans="2:9" ht="17.5" x14ac:dyDescent="0.35">
      <c r="B4" s="190" t="str">
        <f>'Yr Over Yr Metrics and Trends'!B3:F3</f>
        <v>School of Social Work</v>
      </c>
      <c r="C4" s="315"/>
      <c r="D4" s="315"/>
      <c r="E4" s="315"/>
      <c r="F4" s="315"/>
      <c r="G4" s="191"/>
    </row>
    <row r="5" spans="2:9" ht="25.5" customHeight="1" x14ac:dyDescent="0.35">
      <c r="B5" s="316" t="s">
        <v>226</v>
      </c>
    </row>
    <row r="6" spans="2:9" ht="25.5" customHeight="1" x14ac:dyDescent="0.35">
      <c r="B6" s="192" t="s">
        <v>227</v>
      </c>
      <c r="C6" s="211">
        <v>2017</v>
      </c>
      <c r="D6" s="211">
        <v>2018</v>
      </c>
      <c r="E6" s="211">
        <v>2019</v>
      </c>
      <c r="F6" s="211">
        <v>2020</v>
      </c>
      <c r="G6" s="211">
        <v>2021</v>
      </c>
    </row>
    <row r="7" spans="2:9" s="182" customFormat="1" ht="30" customHeight="1" x14ac:dyDescent="0.35">
      <c r="B7" s="193" t="s">
        <v>242</v>
      </c>
      <c r="C7" s="209">
        <f>IF(ISNA(VLOOKUP($B$4,PCards!$A$5:$AI$51,2,FALSE))=TRUE,"DEPT not Found",VLOOKUP($B$4,PCards!$A$5:$AI$51,2,FALSE))</f>
        <v>15</v>
      </c>
      <c r="D7" s="209">
        <f>IF(ISNA(VLOOKUP($B$4,PCards!$A$5:$AI$51,9,FALSE))=TRUE,"DEPT not Found",VLOOKUP($B$4,PCards!$A$5:$AI$51,9,FALSE))</f>
        <v>17</v>
      </c>
      <c r="E7" s="209">
        <f>IF(ISNA(VLOOKUP($B$4,PCards!$A$5:$AI$51,16,FALSE))=TRUE,"DEPT not Found",VLOOKUP($B$4,PCards!$A$5:$AI$51,16,FALSE))</f>
        <v>19</v>
      </c>
      <c r="F7" s="209">
        <f>IF(ISNA(VLOOKUP($B$4,PCards!$A$5:$AI$51,23,FALSE))=TRUE,"DEPT not Found",VLOOKUP($B$4,PCards!$A$5:$AI$51,23,FALSE))</f>
        <v>22</v>
      </c>
      <c r="G7" s="209">
        <f>IF(ISNA(VLOOKUP($B$4,PCards!$A$5:$AI$51,30,FALSE))=TRUE,"DEPT not Found",VLOOKUP($B$4,PCards!$A$5:$AI$51,30,FALSE))</f>
        <v>21</v>
      </c>
      <c r="I7" s="277" t="s">
        <v>375</v>
      </c>
    </row>
    <row r="8" spans="2:9" ht="30" customHeight="1" x14ac:dyDescent="0.35">
      <c r="B8" s="193" t="s">
        <v>243</v>
      </c>
      <c r="C8" s="209">
        <f>IF(ISNA(VLOOKUP($B$4,PCards!$A$5:$AI$51,3,FALSE))=TRUE,"DEPT not Found",VLOOKUP($B$4,PCards!$A$5:$AI$51,3,FALSE))</f>
        <v>13</v>
      </c>
      <c r="D8" s="209">
        <f>IF(ISNA(VLOOKUP($B$4,PCards!$A$5:$AI$51,10,FALSE))=TRUE,"DEPT not Found",VLOOKUP($B$4,PCards!$A$5:$AI$51,10,FALSE))</f>
        <v>16</v>
      </c>
      <c r="E8" s="209">
        <f>IF(ISNA(VLOOKUP($B$4,PCards!$A$5:$AI$51,17,FALSE))=TRUE,"DEPT not Found",VLOOKUP($B$4,PCards!$A$5:$AI$51,17,FALSE))</f>
        <v>17</v>
      </c>
      <c r="F8" s="209">
        <f>IF(ISNA(VLOOKUP($B$4,PCards!$A$5:$AI$51,24,FALSE))=TRUE,"DEPT not Found",VLOOKUP($B$4,PCards!$A$5:$AI$51,24,FALSE))</f>
        <v>20</v>
      </c>
      <c r="G8" s="209">
        <f>IF(ISNA(VLOOKUP($B$4,PCards!$A$5:$AI$51,31,FALSE))=TRUE,"DEPT not Found",VLOOKUP($B$4,PCards!$A$5:$AI$51,31,FALSE))</f>
        <v>19</v>
      </c>
      <c r="I8" s="277" t="s">
        <v>375</v>
      </c>
    </row>
    <row r="9" spans="2:9" s="182" customFormat="1" ht="30" customHeight="1" x14ac:dyDescent="0.35">
      <c r="B9" s="193" t="s">
        <v>244</v>
      </c>
      <c r="C9" s="209">
        <f>IF(ISNA(VLOOKUP($B$4,PCards!$A$5:$AI$51,4,FALSE))=TRUE,"DEPT not Found",VLOOKUP($B$4,PCards!$A$5:$AI$51,4,FALSE))</f>
        <v>0</v>
      </c>
      <c r="D9" s="209">
        <f>IF(ISNA(VLOOKUP($B$4,PCards!$A$5:$AI$51,11,FALSE))=TRUE,"DEPT not Found",VLOOKUP($B$4,PCards!$A$5:$AI$51,11,FALSE))</f>
        <v>0</v>
      </c>
      <c r="E9" s="209">
        <f>IF(ISNA(VLOOKUP($B$4,PCards!$A$5:$AI$51,18,FALSE))=TRUE,"DEPT not Found",VLOOKUP($B$4,PCards!$A$5:$AI$51,18,FALSE))</f>
        <v>0</v>
      </c>
      <c r="F9" s="209">
        <f>IF(ISNA(VLOOKUP($B$4,PCards!$A$5:$AI$51,25,FALSE))=TRUE,"DEPT not Found",VLOOKUP($B$4,PCards!$A$5:$AI$51,25,FALSE))</f>
        <v>0</v>
      </c>
      <c r="G9" s="209">
        <f>IF(ISNA(VLOOKUP($B$4,PCards!$A$5:$AI$51,32,FALSE))=TRUE,"DEPT not Found",VLOOKUP($B$4,PCards!$A$5:$AI$51,32,FALSE))</f>
        <v>0</v>
      </c>
      <c r="I9" s="277" t="s">
        <v>375</v>
      </c>
    </row>
    <row r="10" spans="2:9" s="182" customFormat="1" ht="30" customHeight="1" x14ac:dyDescent="0.35">
      <c r="B10" s="193" t="s">
        <v>245</v>
      </c>
      <c r="C10" s="210">
        <f>IF(ISNA(VLOOKUP($B$4,PCards!$A$5:$AI$51,5,FALSE))=TRUE,"DEPT not Found",VLOOKUP($B$4,PCards!$A$5:$AI$51,5,FALSE))</f>
        <v>0</v>
      </c>
      <c r="D10" s="210">
        <f>IF(ISNA(VLOOKUP($B$4,PCards!$A$5:$AI$51,12,FALSE))=TRUE,"DEPT not Found",VLOOKUP($B$4,PCards!$A$5:$AI$51,12,FALSE))</f>
        <v>0</v>
      </c>
      <c r="E10" s="210">
        <f>IF(ISNA(VLOOKUP($B$4,PCards!$A$5:$AI$51,19,FALSE))=TRUE,"DEPT not Found",VLOOKUP($B$4,PCards!$A$5:$AI$51,19,FALSE))</f>
        <v>0</v>
      </c>
      <c r="F10" s="210">
        <f>IF(ISNA(VLOOKUP($B$4,PCards!$A$5:$AI$51,26,FALSE))=TRUE,"DEPT not Found",VLOOKUP($B$4,PCards!$A$5:$AI$51,26,FALSE))</f>
        <v>0</v>
      </c>
      <c r="G10" s="210">
        <f>IF(ISNA(VLOOKUP($B$4,PCards!$A$5:$AI$51,33,FALSE))=TRUE,"DEPT not Found",VLOOKUP($B$4,PCards!$A$5:$AI$51,33,FALSE))</f>
        <v>0</v>
      </c>
      <c r="I10" s="277" t="s">
        <v>375</v>
      </c>
    </row>
    <row r="11" spans="2:9" s="182" customFormat="1" ht="30" customHeight="1" x14ac:dyDescent="0.35">
      <c r="B11" s="193" t="s">
        <v>246</v>
      </c>
      <c r="C11" s="209">
        <f>IF(ISNA(VLOOKUP($B$4,PCards!$A$5:$AI$51,6,FALSE))=TRUE,"DEPT not Found",VLOOKUP($B$4,PCards!$A$5:$AI$51,6,FALSE))</f>
        <v>0</v>
      </c>
      <c r="D11" s="209">
        <f>IF(ISNA(VLOOKUP($B$4,PCards!$A$5:$AI$51,13,FALSE))=TRUE,"DEPT not Found",VLOOKUP($B$4,PCards!$A$5:$AI$51,13,FALSE))</f>
        <v>0</v>
      </c>
      <c r="E11" s="209">
        <f>IF(ISNA(VLOOKUP($B$4,PCards!$A$5:$AI$51,20,FALSE))=TRUE,"DEPT not Found",VLOOKUP($B$4,PCards!$A$5:$AI$51,20,FALSE))</f>
        <v>0</v>
      </c>
      <c r="F11" s="209">
        <f>IF(ISNA(VLOOKUP($B$4,PCards!$A$5:$AI$51,27,FALSE))=TRUE,"DEPT not Found",VLOOKUP($B$4,PCards!$A$5:$AI$51,27,FALSE))</f>
        <v>0</v>
      </c>
      <c r="G11" s="209">
        <f>IF(ISNA(VLOOKUP($B$4,PCards!$A$5:$AI$51,34,FALSE))=TRUE,"DEPT not Found",VLOOKUP($B$4,PCards!$A$5:$AI$51,34,FALSE))</f>
        <v>0</v>
      </c>
      <c r="I11" s="277" t="s">
        <v>375</v>
      </c>
    </row>
    <row r="12" spans="2:9" s="182" customFormat="1" ht="30" customHeight="1" x14ac:dyDescent="0.35">
      <c r="B12" s="193" t="s">
        <v>247</v>
      </c>
      <c r="C12" s="210">
        <f>IF(ISNA(VLOOKUP($B$4,PCards!$A$5:$AI$51,7,FALSE))=TRUE,"DEPT not Found",VLOOKUP($B$4,PCards!$A$5:$AI$51,7,FALSE))</f>
        <v>0</v>
      </c>
      <c r="D12" s="210">
        <f>IF(ISNA(VLOOKUP($B$4,PCards!$A$5:$AI$51,14,FALSE))=TRUE,"DEPT not Found",VLOOKUP($B$4,PCards!$A$5:$AI$51,14,FALSE))</f>
        <v>0</v>
      </c>
      <c r="E12" s="210">
        <f>IF(ISNA(VLOOKUP($B$4,PCards!$A$5:$AI$51,21,FALSE))=TRUE,"DEPT not Found",VLOOKUP($B$4,PCards!$A$5:$AI$51,21,FALSE))</f>
        <v>0</v>
      </c>
      <c r="F12" s="210">
        <f>IF(ISNA(VLOOKUP($B$4,PCards!$A$5:$AI$51,28,FALSE))=TRUE,"DEPT not Found",VLOOKUP($B$4,PCards!$A$5:$AI$51,28,FALSE))</f>
        <v>0</v>
      </c>
      <c r="G12" s="210">
        <f>IF(ISNA(VLOOKUP($B$4,PCards!$A$5:$AI$51,35,FALSE))=TRUE,"DEPT not Found",VLOOKUP($B$4,PCards!$A$5:$AI$51,35,FALSE))</f>
        <v>0</v>
      </c>
      <c r="I12" s="277" t="s">
        <v>375</v>
      </c>
    </row>
    <row r="13" spans="2:9" s="182" customFormat="1" ht="30" customHeight="1" x14ac:dyDescent="0.35">
      <c r="B13" s="193" t="s">
        <v>254</v>
      </c>
      <c r="C13" s="213">
        <f>IF(ISNA(VLOOKUP($B$4,'Retro Pay'!$A$5:$AD$53,2,FALSE))=TRUE,"DEPT not Found",VLOOKUP($B$4,'Retro Pay'!$A$5:$AD$53,2,FALSE))/1000</f>
        <v>14841.885269999999</v>
      </c>
      <c r="D13" s="213">
        <f>IF(ISNA(VLOOKUP($B$4,'Retro Pay'!$A$5:$AD$53,8,FALSE))=TRUE,"DEPT not Found",VLOOKUP($B$4,'Retro Pay'!$A$5:$AD$53,8,FALSE))/1000</f>
        <v>15864.29909</v>
      </c>
      <c r="E13" s="213">
        <f>IF(ISNA(VLOOKUP($B$4,'Retro Pay'!$A$5:$AD$53,14,FALSE))=TRUE,"DEPT not Found",VLOOKUP($B$4,'Retro Pay'!$A$5:$AD$53,14,FALSE))/1000</f>
        <v>17961.59648</v>
      </c>
      <c r="F13" s="213">
        <f>IF(ISNA(VLOOKUP($B$4,'Retro Pay'!$A$5:$AD$53,20,FALSE))=TRUE,"DEPT not Found",VLOOKUP($B$4,'Retro Pay'!$A$5:$AD$53,20,FALSE))/1000</f>
        <v>18902.57098</v>
      </c>
      <c r="G13" s="213">
        <f>IF(ISNA(VLOOKUP($B$4,'Retro Pay'!$A$5:$AD$53,26,FALSE))=TRUE,"DEPT not Found",VLOOKUP($B$4,'Retro Pay'!$A$5:$AD$53,26,FALSE))/1000</f>
        <v>18895.54981</v>
      </c>
      <c r="I13" s="277" t="s">
        <v>120</v>
      </c>
    </row>
    <row r="14" spans="2:9" s="182" customFormat="1" ht="30" customHeight="1" x14ac:dyDescent="0.35">
      <c r="B14" s="193" t="s">
        <v>256</v>
      </c>
      <c r="C14" s="213">
        <f>IF(ISNA(VLOOKUP($B$4,'Retro Pay'!$A$5:$AD$53,3,FALSE))=TRUE,"DEPT not Found",VLOOKUP($B$4,'Retro Pay'!$A$5:$AD$53,3,FALSE))/1000</f>
        <v>396.45741999999996</v>
      </c>
      <c r="D14" s="213">
        <f>IF(ISNA(VLOOKUP($B$4,'Retro Pay'!$A$5:$AD$53,9,FALSE))=TRUE,"DEPT not Found",VLOOKUP($B$4,'Retro Pay'!$A$5:$AD$53,9,FALSE))/1000</f>
        <v>337.62459000000001</v>
      </c>
      <c r="E14" s="213">
        <f>IF(ISNA(VLOOKUP($B$4,'Retro Pay'!$A$5:$AD$53,15,FALSE))=TRUE,"DEPT not Found",VLOOKUP($B$4,'Retro Pay'!$A$5:$AD$53,15,FALSE))/1000</f>
        <v>586.47232999999983</v>
      </c>
      <c r="F14" s="213">
        <f>IF(ISNA(VLOOKUP($B$4,'Retro Pay'!$A$5:$AD$53,21,FALSE))=TRUE,"DEPT not Found",VLOOKUP($B$4,'Retro Pay'!$A$5:$AD$53,21,FALSE))/1000</f>
        <v>976.39688999999896</v>
      </c>
      <c r="G14" s="213">
        <f>IF(ISNA(VLOOKUP($B$4,'Retro Pay'!$A$5:$AD$53,27,FALSE))=TRUE,"DEPT not Found",VLOOKUP($B$4,'Retro Pay'!$A$5:$AD$53,27,FALSE))/1000</f>
        <v>1313.5262</v>
      </c>
      <c r="I14" s="277" t="s">
        <v>120</v>
      </c>
    </row>
    <row r="15" spans="2:9" s="182" customFormat="1" ht="30" customHeight="1" x14ac:dyDescent="0.35">
      <c r="B15" s="193" t="s">
        <v>297</v>
      </c>
      <c r="C15" s="213">
        <f>IF(ISNA(VLOOKUP($B$4,'Retro Pay'!$A$5:$AD$53,5,FALSE))=TRUE,"DEPT not Found",VLOOKUP($B$4,'Retro Pay'!$A$5:$AD$53,5,FALSE))/1000</f>
        <v>37.880470000000003</v>
      </c>
      <c r="D15" s="213">
        <f>IF(ISNA(VLOOKUP($B$4,'Retro Pay'!$A$5:$AD$53,11,FALSE))=TRUE,"DEPT not Found",VLOOKUP($B$4,'Retro Pay'!$A$5:$AD$53,11,FALSE))/1000</f>
        <v>18.208539999999999</v>
      </c>
      <c r="E15" s="213">
        <f>IF(ISNA(VLOOKUP($B$4,'Retro Pay'!$A$5:$AD$53,17,FALSE))=TRUE,"DEPT not Found",VLOOKUP($B$4,'Retro Pay'!$A$5:$AD$53,17,FALSE))/1000</f>
        <v>68.542260000000013</v>
      </c>
      <c r="F15" s="213">
        <f>IF(ISNA(VLOOKUP($B$4,'Retro Pay'!$A$5:$AD$53,23,FALSE))=TRUE,"DEPT not Found",VLOOKUP($B$4,'Retro Pay'!$A$5:$AD$53,23,FALSE))/1000</f>
        <v>317.31985000000009</v>
      </c>
      <c r="G15" s="213">
        <f>IF(ISNA(VLOOKUP($B$4,'Retro Pay'!$A$5:$AD$53,29,FALSE))=TRUE,"DEPT not Found",VLOOKUP($B$4,'Retro Pay'!$A$5:$AD$53,29,FALSE))/1000</f>
        <v>376.86191999999983</v>
      </c>
      <c r="I15" s="277" t="s">
        <v>120</v>
      </c>
    </row>
    <row r="16" spans="2:9" s="182" customFormat="1" ht="30" customHeight="1" x14ac:dyDescent="0.35">
      <c r="B16" s="193" t="s">
        <v>255</v>
      </c>
      <c r="C16" s="210">
        <f>IF(ISNA(VLOOKUP($B$4,'Retro Pay'!$A$5:$AD$53,4,FALSE))=TRUE,"DEPT not Found",VLOOKUP($B$4,'Retro Pay'!$A$5:$AD$53,4,FALSE))</f>
        <v>2.6712066074339087E-2</v>
      </c>
      <c r="D16" s="210">
        <f>IF(ISNA(VLOOKUP($B$4,'Retro Pay'!$A$5:$AD$53,10,FALSE))=TRUE,"DEPT not Found",VLOOKUP($B$4,'Retro Pay'!$A$5:$AD$53,10,FALSE))</f>
        <v>2.1282036356262371E-2</v>
      </c>
      <c r="E16" s="210">
        <f>IF(ISNA(VLOOKUP($B$4,'Retro Pay'!$A$5:$AD$53,16,FALSE))=TRUE,"DEPT not Found",VLOOKUP($B$4,'Retro Pay'!$A$5:$AD$53,16,FALSE))</f>
        <v>3.265145894202829E-2</v>
      </c>
      <c r="F16" s="210">
        <f>IF(ISNA(VLOOKUP($B$4,'Retro Pay'!$A$5:$AD$53,22,FALSE))=TRUE,"DEPT not Found",VLOOKUP($B$4,'Retro Pay'!$A$5:$AD$53,22,FALSE))</f>
        <v>5.1654184556856456E-2</v>
      </c>
      <c r="G16" s="210">
        <f>IF(ISNA(VLOOKUP($B$4,'Retro Pay'!$A$5:$AD$53,28,FALSE))=TRUE,"DEPT not Found",VLOOKUP($B$4,'Retro Pay'!$A$5:$AD$53,28,FALSE))</f>
        <v>6.9515108753535657E-2</v>
      </c>
      <c r="I16" s="277" t="s">
        <v>120</v>
      </c>
    </row>
    <row r="17" spans="2:9" s="182" customFormat="1" ht="30" customHeight="1" x14ac:dyDescent="0.35">
      <c r="B17" s="193" t="s">
        <v>257</v>
      </c>
      <c r="C17" s="210">
        <f>IF(ISNA(VLOOKUP($B$4,'Retro Pay'!$A$5:$AD$53,6,FALSE))=TRUE,"DEPT not Found",VLOOKUP($B$4,'Retro Pay'!$A$5:$AD$53,6,FALSE))</f>
        <v>2.8007328450958954E-3</v>
      </c>
      <c r="D17" s="210">
        <f>IF(ISNA(VLOOKUP($B$4,'Retro Pay'!$A$5:$AD$53,12,FALSE))=TRUE,"DEPT not Found",VLOOKUP($B$4,'Retro Pay'!$A$5:$AD$53,12,FALSE))</f>
        <v>1.1477683253890293E-3</v>
      </c>
      <c r="E17" s="210">
        <f>IF(ISNA(VLOOKUP($B$4,'Retro Pay'!$A$5:$AD$53,18,FALSE))=TRUE,"DEPT not Found",VLOOKUP($B$4,'Retro Pay'!$A$5:$AD$53,18,FALSE))</f>
        <v>3.8160449755299261E-3</v>
      </c>
      <c r="F17" s="210">
        <f>IF(ISNA(VLOOKUP($B$4,'Retro Pay'!$A$5:$AD$53,24,FALSE))=TRUE,"DEPT not Found",VLOOKUP($B$4,'Retro Pay'!$A$5:$AD$53,24,FALSE))</f>
        <v>1.6787126488547119E-2</v>
      </c>
      <c r="G17" s="210">
        <f>IF(ISNA(VLOOKUP($B$4,'Retro Pay'!$A$5:$AD$53,30,FALSE))=TRUE,"DEPT not Found",VLOOKUP($B$4,'Retro Pay'!$A$5:$AD$53,30,FALSE))</f>
        <v>1.994448025008275E-2</v>
      </c>
      <c r="I17" s="277" t="s">
        <v>120</v>
      </c>
    </row>
    <row r="18" spans="2:9" s="182" customFormat="1" ht="30" customHeight="1" x14ac:dyDescent="0.35">
      <c r="B18" s="193" t="s">
        <v>254</v>
      </c>
      <c r="C18" s="213">
        <f>IF(ISNA(VLOOKUP($B$4,'SP Retro Pay'!$A$5:$AD$53,2,FALSE))=TRUE,"DEPT not Found",VLOOKUP($B$4,'SP Retro Pay'!$A$5:$AD$53,2,FALSE))/1000</f>
        <v>1745.7907099999975</v>
      </c>
      <c r="D18" s="213">
        <f>IF(ISNA(VLOOKUP($B$4,'SP Retro Pay'!$A$5:$AD$53,8,FALSE))=TRUE,"DEPT not Found",VLOOKUP($B$4,'SP Retro Pay'!$A$5:$AD$53,8,FALSE))/1000</f>
        <v>1967.8402399999986</v>
      </c>
      <c r="E18" s="213">
        <f>IF(ISNA(VLOOKUP($B$4,'SP Retro Pay'!$A$5:$AD$53,14,FALSE))=TRUE,"DEPT not Found",VLOOKUP($B$4,'SP Retro Pay'!$A$5:$AD$53,14,FALSE))/1000</f>
        <v>1908.6789900000001</v>
      </c>
      <c r="F18" s="213">
        <f>IF(ISNA(VLOOKUP($B$4,'SP Retro Pay'!$A$5:$AD$53,20,FALSE))=TRUE,"DEPT not Found",VLOOKUP($B$4,'SP Retro Pay'!$A$5:$AD$53,20,FALSE))/1000</f>
        <v>1980.4573399999929</v>
      </c>
      <c r="G18" s="213">
        <f>IF(ISNA(VLOOKUP($B$4,'SP Retro Pay'!$A$5:$AD$53,26,FALSE))=TRUE,"DEPT not Found",VLOOKUP($B$4,'SP Retro Pay'!$A$5:$AD$53,26,FALSE))/1000</f>
        <v>1934.8244400000003</v>
      </c>
      <c r="I18" s="277" t="s">
        <v>376</v>
      </c>
    </row>
    <row r="19" spans="2:9" s="182" customFormat="1" ht="30" customHeight="1" x14ac:dyDescent="0.35">
      <c r="B19" s="193" t="s">
        <v>256</v>
      </c>
      <c r="C19" s="213">
        <f>IF(ISNA(VLOOKUP($B$4,'SP Retro Pay'!$A$5:$AD$53,3,FALSE))=TRUE,"DEPT not Found",VLOOKUP($B$4,'SP Retro Pay'!$A$5:$AD$53,3,FALSE))/1000</f>
        <v>227.49660999999998</v>
      </c>
      <c r="D19" s="213">
        <f>IF(ISNA(VLOOKUP($B$4,'SP Retro Pay'!$A$5:$AD$53,9,FALSE))=TRUE,"DEPT not Found",VLOOKUP($B$4,'SP Retro Pay'!$A$5:$AD$53,9,FALSE))/1000</f>
        <v>164.87246000000002</v>
      </c>
      <c r="E19" s="213">
        <f>IF(ISNA(VLOOKUP($B$4,'SP Retro Pay'!$A$5:$AD$53,15,FALSE))=TRUE,"DEPT not Found",VLOOKUP($B$4,'SP Retro Pay'!$A$5:$AD$53,15,FALSE))/1000</f>
        <v>151.78335000000004</v>
      </c>
      <c r="F19" s="213">
        <f>IF(ISNA(VLOOKUP($B$4,'SP Retro Pay'!$A$5:$AD$53,21,FALSE))=TRUE,"DEPT not Found",VLOOKUP($B$4,'SP Retro Pay'!$A$5:$AD$53,21,FALSE))/1000</f>
        <v>596.68530999999984</v>
      </c>
      <c r="G19" s="213">
        <f>IF(ISNA(VLOOKUP($B$4,'SP Retro Pay'!$A$5:$AD$53,27,FALSE))=TRUE,"DEPT not Found",VLOOKUP($B$4,'SP Retro Pay'!$A$5:$AD$53,27,FALSE))/1000</f>
        <v>607.83155000000056</v>
      </c>
      <c r="I19" s="277" t="s">
        <v>376</v>
      </c>
    </row>
    <row r="20" spans="2:9" s="182" customFormat="1" ht="30" customHeight="1" x14ac:dyDescent="0.35">
      <c r="B20" s="193" t="s">
        <v>258</v>
      </c>
      <c r="C20" s="213">
        <f>IF(ISNA(VLOOKUP($B$4,'SP Retro Pay'!$A$5:$AD$53,5,FALSE))=TRUE,"DEPT not Found",VLOOKUP($B$4,'SP Retro Pay'!$A$5:$AD$53,5,FALSE))/1000</f>
        <v>47.624589999999998</v>
      </c>
      <c r="D20" s="213">
        <f>IF(ISNA(VLOOKUP($B$4,'SP Retro Pay'!$A$5:$AD$53,11,FALSE))=TRUE,"DEPT not Found",VLOOKUP($B$4,'SP Retro Pay'!$A$5:$AD$53,11,FALSE))/1000</f>
        <v>31.173090000000006</v>
      </c>
      <c r="E20" s="213">
        <f>IF(ISNA(VLOOKUP($B$4,'SP Retro Pay'!$A$5:$AD$53,17,FALSE))=TRUE,"DEPT not Found",VLOOKUP($B$4,'SP Retro Pay'!$A$5:$AD$53,17,FALSE))/1000</f>
        <v>9.8327999999999989</v>
      </c>
      <c r="F20" s="213">
        <f>IF(ISNA(VLOOKUP($B$4,'SP Retro Pay'!$A$5:$AD$53,23,FALSE))=TRUE,"DEPT not Found",VLOOKUP($B$4,'SP Retro Pay'!$A$5:$AD$53,23,FALSE))/1000</f>
        <v>57.940789999999986</v>
      </c>
      <c r="G20" s="213">
        <f>IF(ISNA(VLOOKUP($B$4,'SP Retro Pay'!$A$5:$AD$53,29,FALSE))=TRUE,"DEPT not Found",VLOOKUP($B$4,'SP Retro Pay'!$A$5:$AD$53,29,FALSE))/1000</f>
        <v>86.258769999999984</v>
      </c>
      <c r="I20" s="277" t="s">
        <v>376</v>
      </c>
    </row>
    <row r="21" spans="2:9" s="182" customFormat="1" ht="30" customHeight="1" x14ac:dyDescent="0.35">
      <c r="B21" s="193" t="s">
        <v>255</v>
      </c>
      <c r="C21" s="210">
        <f>IF(ISNA(VLOOKUP($B$4,'SP Retro Pay'!$A$5:$AD$53,4,FALSE))=TRUE,"DEPT not Found",VLOOKUP($B$4,'SP Retro Pay'!$A$5:$AD$53,4,FALSE))</f>
        <v>0.1303115022304136</v>
      </c>
      <c r="D21" s="210">
        <f>IF(ISNA(VLOOKUP($B$4,'SP Retro Pay'!$A$5:$AD$53,10,FALSE))=TRUE,"DEPT not Found",VLOOKUP($B$4,'SP Retro Pay'!$A$5:$AD$53,10,FALSE))</f>
        <v>8.3783457949818188E-2</v>
      </c>
      <c r="E21" s="210">
        <f>IF(ISNA(VLOOKUP($B$4,'SP Retro Pay'!$A$5:$AD$53,15,FALSE))=TRUE,"DEPT not Found",VLOOKUP($B$4,'SP Retro Pay'!$A$5:$AD$53,16,FALSE))</f>
        <v>7.7131947459312108E-2</v>
      </c>
      <c r="F21" s="210">
        <f>IF(ISNA(VLOOKUP($B$4,'SP Retro Pay'!$A$5:$AD$53,22,FALSE))=TRUE,"DEPT not Found",VLOOKUP($B$4,'SP Retro Pay'!$A$5:$AD$53,22,FALSE))</f>
        <v>0.30128662604769968</v>
      </c>
      <c r="G21" s="210">
        <f>IF(ISNA(VLOOKUP($B$4,'SP Retro Pay'!$A$5:$AD$53,28,FALSE))=TRUE,"DEPT not Found",VLOOKUP($B$4,'SP Retro Pay'!$A$5:$AD$53,28,FALSE))</f>
        <v>0.31415333475940604</v>
      </c>
      <c r="I21" s="277" t="s">
        <v>376</v>
      </c>
    </row>
    <row r="22" spans="2:9" ht="30" customHeight="1" x14ac:dyDescent="0.35">
      <c r="B22" s="193" t="s">
        <v>259</v>
      </c>
      <c r="C22" s="210">
        <f>IF(ISNA(VLOOKUP($B$4,'SP Retro Pay'!$A$5:$AD$53,6,FALSE))=TRUE,"DEPT not Found",VLOOKUP($B$4,'SP Retro Pay'!$A$5:$AD$53,6,FALSE))</f>
        <v>2.727966744650627E-2</v>
      </c>
      <c r="D22" s="210">
        <f>IF(ISNA(VLOOKUP($B$4,'SP Retro Pay'!$A$5:$AD$53,12,FALSE))=TRUE,"DEPT not Found",VLOOKUP($B$4,'SP Retro Pay'!$A$5:$AD$53,12,FALSE))</f>
        <v>1.5841270732424917E-2</v>
      </c>
      <c r="E22" s="210">
        <f>IF(ISNA(VLOOKUP($B$4,'SP Retro Pay'!$A$5:$AD$53,18,FALSE))=TRUE,"DEPT not Found",VLOOKUP($B$4,'SP Retro Pay'!$A$5:$AD$53,18,FALSE))</f>
        <v>4.9967470936563459E-3</v>
      </c>
      <c r="F22" s="210">
        <f>IF(ISNA(VLOOKUP($B$4,'SP Retro Pay'!$A$5:$AD$53,24,FALSE))=TRUE,"DEPT not Found",VLOOKUP($B$4,'SP Retro Pay'!$A$5:$AD$53,24,FALSE))</f>
        <v>2.9256267645734899E-2</v>
      </c>
      <c r="G22" s="210">
        <f>IF(ISNA(VLOOKUP($B$4,'SP Retro Pay'!$A$5:$AD$53,30,FALSE))=TRUE,"DEPT not Found",VLOOKUP($B$4,'SP Retro Pay'!$A$5:$AD$53,30,FALSE))</f>
        <v>4.4582220596717279E-2</v>
      </c>
      <c r="I22" s="277" t="s">
        <v>376</v>
      </c>
    </row>
    <row r="23" spans="2:9" s="182" customFormat="1" ht="30" customHeight="1" x14ac:dyDescent="0.35">
      <c r="B23" s="193" t="s">
        <v>260</v>
      </c>
      <c r="C23" s="209">
        <f>IF(ISNA(VLOOKUP($B$4,'Effort Cert'!$A$5:$P$53,2,FALSE))=TRUE,"Dept not Found",VLOOKUP($B$4,'Effort Cert'!$A$5:$P$53,2,FALSE))</f>
        <v>79</v>
      </c>
      <c r="D23" s="209">
        <f>IF(ISNA(VLOOKUP($B$4,'Effort Cert'!$A$5:$P$53,5,FALSE))=TRUE,"Dept not Found",VLOOKUP($B$4,'Effort Cert'!$A$5:$P$53,5,FALSE))</f>
        <v>78</v>
      </c>
      <c r="E23" s="209">
        <f>IF(ISNA(VLOOKUP($B$4,'Effort Cert'!$A$5:$P$53,8,FALSE))=TRUE,"Dept not Found",VLOOKUP($B$4,'Effort Cert'!$A$5:$P$53,8,FALSE))</f>
        <v>50</v>
      </c>
      <c r="F23" s="209">
        <f>IF(ISNA(VLOOKUP($B$4,'Effort Cert'!$A$5:$P$53,11,FALSE))=TRUE,"Dept not Found",VLOOKUP($B$4,'Effort Cert'!$A$5:$P$53,11,FALSE))</f>
        <v>63</v>
      </c>
      <c r="G23" s="209">
        <f>IF(ISNA(VLOOKUP($B$4,'Effort Cert'!$A$5:$P$53,14,FALSE))=TRUE,"Dept not Found",VLOOKUP($B$4,'Effort Cert'!$A$5:$P$53,14,FALSE))</f>
        <v>60</v>
      </c>
      <c r="I23" s="277" t="s">
        <v>377</v>
      </c>
    </row>
    <row r="24" spans="2:9" ht="30" customHeight="1" x14ac:dyDescent="0.35">
      <c r="B24" s="193" t="s">
        <v>261</v>
      </c>
      <c r="C24" s="209">
        <f>IF(ISNA(VLOOKUP($B$4,'Effort Cert'!$A$5:$P$53,3,FALSE))=TRUE,"Dept not Found",VLOOKUP($B$4,'Effort Cert'!$A$5:$P$53,3,FALSE))</f>
        <v>79</v>
      </c>
      <c r="D24" s="209">
        <f>IF(ISNA(VLOOKUP($B$4,'Effort Cert'!$A$5:$P$53,6,FALSE))=TRUE,"Dept not Found",VLOOKUP($B$4,'Effort Cert'!$A$5:$P$53,6,FALSE))</f>
        <v>77</v>
      </c>
      <c r="E24" s="209">
        <f>IF(ISNA(VLOOKUP($B$4,'Effort Cert'!$A$5:$P$53,9,FALSE))=TRUE,"Dept not Found",VLOOKUP($B$4,'Effort Cert'!$A$5:$P$53,9,FALSE))</f>
        <v>50</v>
      </c>
      <c r="F24" s="209">
        <f>IF(ISNA(VLOOKUP($B$4,'Effort Cert'!$A$5:$P$53,12,FALSE))=TRUE,"Dept not Found",VLOOKUP($B$4,'Effort Cert'!$A$5:$P$53,12,FALSE))</f>
        <v>55</v>
      </c>
      <c r="G24" s="209">
        <f>IF(ISNA(VLOOKUP($B$4,'Effort Cert'!$A$5:$P$53,15,FALSE))=TRUE,"Dept not Found",VLOOKUP($B$4,'Effort Cert'!$A$5:$P$53,15,FALSE))</f>
        <v>57</v>
      </c>
      <c r="I24" s="277" t="s">
        <v>377</v>
      </c>
    </row>
    <row r="25" spans="2:9" ht="30" customHeight="1" x14ac:dyDescent="0.35">
      <c r="B25" s="193" t="s">
        <v>262</v>
      </c>
      <c r="C25" s="210">
        <f>IF(ISNA(VLOOKUP($B$4,'Effort Cert'!$A$5:$P$53,4,FALSE))=TRUE,"Dept not Found",VLOOKUP($B$4,'Effort Cert'!$A$5:$P$53,4,FALSE))</f>
        <v>1</v>
      </c>
      <c r="D25" s="210">
        <f>IF(ISNA(VLOOKUP($B$4,'Effort Cert'!$A$5:$P$53,7,FALSE))=TRUE,"Dept not Found",VLOOKUP($B$4,'Effort Cert'!$A$5:$P$53,7,FALSE))</f>
        <v>0.98717948717948723</v>
      </c>
      <c r="E25" s="210">
        <f>IF(ISNA(VLOOKUP($B$4,'Effort Cert'!$A$5:$P$53,10,FALSE))=TRUE,"Dept not Found",VLOOKUP($B$4,'Effort Cert'!$A$5:$P$53,10,FALSE))</f>
        <v>1</v>
      </c>
      <c r="F25" s="210">
        <f>IF(ISNA(VLOOKUP($B$4,'Effort Cert'!$A$5:$P$53,13,FALSE))=TRUE,"Dept not Found",VLOOKUP($B$4,'Effort Cert'!$A$5:$P$53,13,FALSE))</f>
        <v>0.87301587301587302</v>
      </c>
      <c r="G25" s="210">
        <f>IF(ISNA(VLOOKUP($B$4,'Effort Cert'!$A$5:$P$53,16,FALSE))=TRUE,"Dept not Found",VLOOKUP($B$4,'Effort Cert'!$A$5:$P$53,16,FALSE))</f>
        <v>0.95</v>
      </c>
      <c r="I25" s="277" t="s">
        <v>377</v>
      </c>
    </row>
    <row r="26" spans="2:9" ht="30" customHeight="1" x14ac:dyDescent="0.35">
      <c r="B26" s="193" t="s">
        <v>400</v>
      </c>
      <c r="C26" s="209">
        <f>IF(ISNA(VLOOKUP($B$4,'Cash Handling'!$A$5:$AI$53,2,FALSE))=TRUE,"Dept not Found",VLOOKUP($B$4,'Cash Handling'!$A$5:$AI$53,2,FALSE))</f>
        <v>4</v>
      </c>
      <c r="D26" s="209">
        <f>IF(ISNA(VLOOKUP($B$4,'Cash Handling'!$A$5:$AI$53,9,FALSE))=TRUE,"Dept not Found",VLOOKUP($B$4,'Cash Handling'!$A$5:$AI$53,9,FALSE))</f>
        <v>3</v>
      </c>
      <c r="E26" s="209">
        <f>IF(ISNA(VLOOKUP($B$4,'Cash Handling'!$A$5:$AI$53,16,FALSE))=TRUE,"Dept not Found",VLOOKUP($B$4,'Cash Handling'!$A$5:$AI$53,16,FALSE))</f>
        <v>2</v>
      </c>
      <c r="F26" s="209">
        <f>IF(ISNA(VLOOKUP($B$4,'Cash Handling'!$A$5:$AI$53,23,FALSE))=TRUE,"Dept not Found",VLOOKUP($B$4,'Cash Handling'!$A$5:$AI$53,23,FALSE))</f>
        <v>2</v>
      </c>
      <c r="G26" s="209">
        <f>IF(ISNA(VLOOKUP($B$4,'Cash Handling'!$A$5:$AI$53,30,FALSE))=TRUE,"Dept not Found",VLOOKUP($B$4,'Cash Handling'!$A$5:$AI$53,30,FALSE))</f>
        <v>2</v>
      </c>
      <c r="I26" s="277" t="s">
        <v>325</v>
      </c>
    </row>
    <row r="27" spans="2:9" ht="30" customHeight="1" x14ac:dyDescent="0.35">
      <c r="B27" s="193" t="s">
        <v>264</v>
      </c>
      <c r="C27" s="209">
        <f>IF(ISNA(VLOOKUP($B$4,'Cash Handling'!$A$5:$AI$53,3,FALSE))=TRUE,"Dept not Found",VLOOKUP($B$4,'Cash Handling'!$A$5:$AI$53,3,FALSE))</f>
        <v>74</v>
      </c>
      <c r="D27" s="209">
        <f>IF(ISNA(VLOOKUP($B$4,'Cash Handling'!$A$5:$AI$53,10,FALSE))=TRUE,"Dept not Found",VLOOKUP($B$4,'Cash Handling'!$A$5:$AI$53,10,FALSE))</f>
        <v>70</v>
      </c>
      <c r="E27" s="209">
        <f>IF(ISNA(VLOOKUP($B$4,'Cash Handling'!$A$5:$AI$53,17,FALSE))=TRUE,"Dept not Found",VLOOKUP($B$4,'Cash Handling'!$A$5:$AI$53,17,FALSE))</f>
        <v>79</v>
      </c>
      <c r="F27" s="209">
        <f>IF(ISNA(VLOOKUP($B$4,'Cash Handling'!$A$5:$AI$53,24,FALSE))=TRUE,"Dept not Found",VLOOKUP($B$4,'Cash Handling'!$A$5:$AI$53,24,FALSE))</f>
        <v>58</v>
      </c>
      <c r="G27" s="209">
        <f>IF(ISNA(VLOOKUP($B$4,'Cash Handling'!$A$5:$AI$53,31,FALSE))=TRUE,"Dept not Found",VLOOKUP($B$4,'Cash Handling'!$A$5:$AI$53,31,FALSE))</f>
        <v>21</v>
      </c>
      <c r="I27" s="277" t="s">
        <v>325</v>
      </c>
    </row>
    <row r="28" spans="2:9" ht="30" customHeight="1" x14ac:dyDescent="0.35">
      <c r="B28" s="193" t="s">
        <v>324</v>
      </c>
      <c r="C28" s="213">
        <f>IF(ISNA(VLOOKUP($B$4,'Cash Handling'!$A$5:$AI$53,4,FALSE))=TRUE,"Dept not Found",VLOOKUP($B$4,'Cash Handling'!$A$5:$AI$53,4,FALSE))/1000</f>
        <v>134.84917999999999</v>
      </c>
      <c r="D28" s="213">
        <f>IF(ISNA(VLOOKUP($B$4,'Cash Handling'!$A$5:$AI$53,11,FALSE))=TRUE,"Dept not Found",VLOOKUP($B$4,'Cash Handling'!$A$5:$AI$53,11,FALSE))/1000</f>
        <v>193.63813000000002</v>
      </c>
      <c r="E28" s="213">
        <f>IF(ISNA(VLOOKUP($B$4,'Cash Handling'!$A$5:$AI$53,18,FALSE))=TRUE,"Dept not Found",VLOOKUP($B$4,'Cash Handling'!$A$5:$AI$53,18,FALSE))/1000</f>
        <v>303.29376999999999</v>
      </c>
      <c r="F28" s="213">
        <f>IF(ISNA(VLOOKUP($B$4,'Cash Handling'!$A$5:$AI$53,25,FALSE))=TRUE,"Dept not Found",VLOOKUP($B$4,'Cash Handling'!$A$5:$AI$53,25,FALSE))/1000</f>
        <v>132.65812</v>
      </c>
      <c r="G28" s="213">
        <f>IF(ISNA(VLOOKUP($B$4,'Cash Handling'!$A$5:$AI$53,32,FALSE))=TRUE,"Dept not Found",VLOOKUP($B$4,'Cash Handling'!$A$5:$AI$53,32,FALSE))/1000</f>
        <v>109.98751000000001</v>
      </c>
      <c r="I28" s="277" t="s">
        <v>325</v>
      </c>
    </row>
    <row r="29" spans="2:9" ht="30" customHeight="1" x14ac:dyDescent="0.35">
      <c r="B29" s="193" t="s">
        <v>265</v>
      </c>
      <c r="C29" s="209">
        <f>IF(ISNA(VLOOKUP($B$4,'Cash Handling'!$A$5:$AI$53,5,FALSE))=TRUE,"Dept not Found",VLOOKUP($B$4,'Cash Handling'!$A$5:$AI$53,5,FALSE))</f>
        <v>5</v>
      </c>
      <c r="D29" s="209">
        <f>IF(ISNA(VLOOKUP($B$4,'Cash Handling'!$A$5:$AI$53,12,FALSE))=TRUE,"Dept not Found",VLOOKUP($B$4,'Cash Handling'!$A$5:$AI$53,12,FALSE))</f>
        <v>7</v>
      </c>
      <c r="E29" s="209">
        <f>IF(ISNA(VLOOKUP($B$4,'Cash Handling'!$A$5:$AI$53,19,FALSE))=TRUE,"Dept not Found",VLOOKUP($B$4,'Cash Handling'!$A$5:$AI$53,19,FALSE))</f>
        <v>5</v>
      </c>
      <c r="F29" s="209">
        <f>IF(ISNA(VLOOKUP($B$4,'Cash Handling'!$A$5:$AI$53,26,FALSE))=TRUE,"Dept not Found",VLOOKUP($B$4,'Cash Handling'!$A$5:$AI$53,26,FALSE))</f>
        <v>3</v>
      </c>
      <c r="G29" s="209">
        <f>IF(ISNA(VLOOKUP($B$4,'Cash Handling'!$A$5:$AI$53,33,FALSE))=TRUE,"Dept not Found",VLOOKUP($B$4,'Cash Handling'!$A$5:$AI$53,33,FALSE))</f>
        <v>3</v>
      </c>
      <c r="I29" s="277" t="s">
        <v>325</v>
      </c>
    </row>
    <row r="30" spans="2:9" ht="30" customHeight="1" x14ac:dyDescent="0.35">
      <c r="B30" s="193" t="s">
        <v>266</v>
      </c>
      <c r="C30" s="209">
        <f>IF(ISNA(VLOOKUP($B$4,'Cash Handling'!$A$5:$AI$53,6,FALSE))=TRUE,"Dept not Found",VLOOKUP($B$4,'Cash Handling'!$A$5:$AI$53,6,FALSE))</f>
        <v>5</v>
      </c>
      <c r="D30" s="209">
        <f>IF(ISNA(VLOOKUP($B$4,'Cash Handling'!$A$5:$AI$53,13,FALSE))=TRUE,"Dept not Found",VLOOKUP($B$4,'Cash Handling'!$A$5:$AI$53,13,FALSE))</f>
        <v>3</v>
      </c>
      <c r="E30" s="209">
        <f>IF(ISNA(VLOOKUP($B$4,'Cash Handling'!$A$5:$AI$53,20,FALSE))=TRUE,"Dept not Found",VLOOKUP($B$4,'Cash Handling'!$A$5:$AI$53,20,FALSE))</f>
        <v>3</v>
      </c>
      <c r="F30" s="209">
        <f>IF(ISNA(VLOOKUP($B$4,'Cash Handling'!$A$5:$AI$53,27,FALSE))=TRUE,"Dept not Found",VLOOKUP($B$4,'Cash Handling'!$A$5:$AI$53,27,FALSE))</f>
        <v>2</v>
      </c>
      <c r="G30" s="209">
        <f>IF(ISNA(VLOOKUP($B$4,'Cash Handling'!$A$5:$AI$53,34,FALSE))=TRUE,"Dept not Found",VLOOKUP($B$4,'Cash Handling'!$A$5:$AI$53,34,FALSE))</f>
        <v>2</v>
      </c>
      <c r="I30" s="277" t="s">
        <v>325</v>
      </c>
    </row>
    <row r="31" spans="2:9" ht="30" customHeight="1" x14ac:dyDescent="0.35">
      <c r="B31" s="193" t="s">
        <v>267</v>
      </c>
      <c r="C31" s="210">
        <f>IF(ISNA(VLOOKUP($B$4,'Cash Handling'!$A$5:$AI$53,7,FALSE))=TRUE,"Dept not Found",VLOOKUP($B$4,'Cash Handling'!$A$5:$AI$53,7,FALSE))</f>
        <v>1</v>
      </c>
      <c r="D31" s="210">
        <f>IF(ISNA(VLOOKUP($B$4,'Cash Handling'!$A$5:$AI$53,14,FALSE))=TRUE,"Dept not Found",VLOOKUP($B$4,'Cash Handling'!$A$5:$AI$53,14,FALSE))</f>
        <v>0.42857142857142855</v>
      </c>
      <c r="E31" s="210">
        <f>IF(ISNA(VLOOKUP($B$4,'Cash Handling'!$A$5:$AI$53,21,FALSE))=TRUE,"Dept not Found",VLOOKUP($B$4,'Cash Handling'!$A$5:$AI$53,21,FALSE))</f>
        <v>0.6</v>
      </c>
      <c r="F31" s="210">
        <f>IF(ISNA(VLOOKUP($B$4,'Cash Handling'!$A$5:$AI$53,28,FALSE))=TRUE,"Dept not Found",VLOOKUP($B$4,'Cash Handling'!$A$5:$AI$53,28,FALSE))</f>
        <v>0.66666666666666663</v>
      </c>
      <c r="G31" s="210">
        <f>IF(ISNA(VLOOKUP($B$4,'Cash Handling'!$A$5:$AI$53,35,FALSE))=TRUE,"Dept not Found",VLOOKUP($B$4,'Cash Handling'!$A$5:$AI$53,35,FALSE))</f>
        <v>0.66666666666666663</v>
      </c>
      <c r="I31" s="277" t="s">
        <v>325</v>
      </c>
    </row>
    <row r="32" spans="2:9" ht="30" customHeight="1" x14ac:dyDescent="0.35">
      <c r="B32" s="193" t="s">
        <v>268</v>
      </c>
      <c r="C32" s="209">
        <f>IF(ISNA(VLOOKUP($B$4,'Credit Card'!$A$5:$BC$53,2,FALSE))=TRUE,"Dept not Found",VLOOKUP($B$4,'Credit Card'!$A$5:$BC$53,2,FALSE))</f>
        <v>1</v>
      </c>
      <c r="D32" s="209">
        <f>IF(ISNA(VLOOKUP($B$4,'Credit Card'!$A$5:$BC$53,13,FALSE))=TRUE,"Dept not Found",VLOOKUP($B$4,'Credit Card'!$A$5:$BC$53,13,FALSE))</f>
        <v>1</v>
      </c>
      <c r="E32" s="209">
        <f>IF(ISNA(VLOOKUP($B$4,'Credit Card'!$A$5:$BC$53,24,FALSE))=TRUE,"Dept not Found",VLOOKUP($B$4,'Credit Card'!$A$5:$BC$53,24,FALSE))</f>
        <v>1</v>
      </c>
      <c r="F32" s="209">
        <f>IF(ISNA(VLOOKUP($B$4,'Credit Card'!$A$5:$BC$53,35,FALSE))=TRUE,"Dept not Found",VLOOKUP($B$4,'Credit Card'!$A$5:$BC$53,35,FALSE))</f>
        <v>1</v>
      </c>
      <c r="G32" s="209">
        <f>IF(ISNA(VLOOKUP($B$4,'Credit Card'!$A$5:$BC$53,46,FALSE))=TRUE,"Dept not Found",VLOOKUP($B$4,'Credit Card'!$A$5:$BC$53,46,FALSE))</f>
        <v>1</v>
      </c>
      <c r="I32" s="302" t="s">
        <v>326</v>
      </c>
    </row>
    <row r="33" spans="2:9" ht="30" customHeight="1" x14ac:dyDescent="0.35">
      <c r="B33" s="193" t="s">
        <v>269</v>
      </c>
      <c r="C33" s="209">
        <f>IF(ISNA(VLOOKUP($B$4,'Credit Card'!$A$5:$BC$53,3,FALSE))=TRUE,"Dept not Found",VLOOKUP($B$4,'Credit Card'!$A$5:$BC$53,3,FALSE))</f>
        <v>1</v>
      </c>
      <c r="D33" s="209">
        <f>IF(ISNA(VLOOKUP($B$4,'Credit Card'!$A$5:$BC$53,14,FALSE))=TRUE,"Dept not Found",VLOOKUP($B$4,'Credit Card'!$A$5:$BC$53,14,FALSE))</f>
        <v>1</v>
      </c>
      <c r="E33" s="209">
        <f>IF(ISNA(VLOOKUP($B$4,'Credit Card'!$A$5:$BC$53,25,FALSE))=TRUE,"Dept not Found",VLOOKUP($B$4,'Credit Card'!$A$5:$BC$53,25,FALSE))</f>
        <v>1</v>
      </c>
      <c r="F33" s="209">
        <f>IF(ISNA(VLOOKUP($B$4,'Credit Card'!$A$5:$BC$53,36,FALSE))=TRUE,"Dept not Found",VLOOKUP($B$4,'Credit Card'!$A$5:$BC$53,36,FALSE))</f>
        <v>1</v>
      </c>
      <c r="G33" s="209">
        <f>IF(ISNA(VLOOKUP($B$4,'Credit Card'!$A$5:$BC$53,47,FALSE))=TRUE,"Dept not Found",VLOOKUP($B$4,'Credit Card'!$A$5:$BC$53,47,FALSE))</f>
        <v>1</v>
      </c>
      <c r="I33" s="302" t="s">
        <v>326</v>
      </c>
    </row>
    <row r="34" spans="2:9" ht="30" customHeight="1" x14ac:dyDescent="0.35">
      <c r="B34" s="193" t="s">
        <v>270</v>
      </c>
      <c r="C34" s="210">
        <f>IF(ISNA(VLOOKUP($B$4,'Credit Card'!$A$5:$BC$53,4,FALSE))=TRUE,"Dept not Found",VLOOKUP($B$4,'Credit Card'!$A$5:$BC$53,4,FALSE))</f>
        <v>1</v>
      </c>
      <c r="D34" s="210">
        <f>IF(ISNA(VLOOKUP($B$4,'Credit Card'!$A$5:$BC$53,15,FALSE))=TRUE,"Dept not Found",VLOOKUP($B$4,'Credit Card'!$A$5:$BC$53,15,FALSE))</f>
        <v>1</v>
      </c>
      <c r="E34" s="210">
        <f>IF(ISNA(VLOOKUP($B$4,'Credit Card'!$A$5:$BC$53,26,FALSE))=TRUE,"Dept not Found",VLOOKUP($B$4,'Credit Card'!$A$5:$BC$53,26,FALSE))</f>
        <v>1</v>
      </c>
      <c r="F34" s="210">
        <f>IF(ISNA(VLOOKUP($B$4,'Credit Card'!$A$5:$BC$53,37,FALSE))=TRUE,"Dept not Found",VLOOKUP($B$4,'Credit Card'!$A$5:$BC$53,37,FALSE))</f>
        <v>1</v>
      </c>
      <c r="G34" s="210">
        <f>IF(ISNA(VLOOKUP($B$4,'Credit Card'!$A$5:$BC$53,48,FALSE))=TRUE,"Dept not Found",VLOOKUP($B$4,'Credit Card'!$A$5:$BC$53,48,FALSE))</f>
        <v>1</v>
      </c>
      <c r="I34" s="302" t="s">
        <v>326</v>
      </c>
    </row>
    <row r="35" spans="2:9" ht="30" customHeight="1" x14ac:dyDescent="0.35">
      <c r="B35" s="193" t="s">
        <v>271</v>
      </c>
      <c r="C35" s="209">
        <f>IF(ISNA(VLOOKUP($B$4,'Credit Card'!$A$5:$BC$53,5,FALSE))=TRUE,"Dept not Found",VLOOKUP($B$4,'Credit Card'!$A$5:$BC$53,5,FALSE))</f>
        <v>621</v>
      </c>
      <c r="D35" s="209">
        <f>IF(ISNA(VLOOKUP($B$4,'Credit Card'!$A$5:$BC$53,16,FALSE))=TRUE,"Dept not Found",VLOOKUP($B$4,'Credit Card'!$A$5:$BC$53,16,FALSE))</f>
        <v>703</v>
      </c>
      <c r="E35" s="209">
        <f>IF(ISNA(VLOOKUP($B$4,'Credit Card'!$A$5:$BC$53,27,FALSE))=TRUE,"Dept not Found",VLOOKUP($B$4,'Credit Card'!$A$5:$BC$53,27,FALSE))</f>
        <v>1013</v>
      </c>
      <c r="F35" s="209">
        <f>IF(ISNA(VLOOKUP($B$4,'Credit Card'!$A$5:$BC$53,38,FALSE))=TRUE,"Dept not Found",VLOOKUP($B$4,'Credit Card'!$A$5:$BC$53,38,FALSE))</f>
        <v>903</v>
      </c>
      <c r="G35" s="209">
        <f>IF(ISNA(VLOOKUP($B$4,'Credit Card'!$A$5:$BC$53,49,FALSE))=TRUE,"Dept not Found",VLOOKUP($B$4,'Credit Card'!$A$5:$BC$53,49,FALSE))</f>
        <v>1203</v>
      </c>
      <c r="I35" s="302" t="s">
        <v>326</v>
      </c>
    </row>
    <row r="36" spans="2:9" ht="30" customHeight="1" x14ac:dyDescent="0.35">
      <c r="B36" s="193" t="s">
        <v>327</v>
      </c>
      <c r="C36" s="213">
        <f>IF(ISNA(VLOOKUP($B$4,'Credit Card'!$A$5:$BC$53,6,FALSE))=TRUE,"Dept not Found",VLOOKUP($B$4,'Credit Card'!$A$5:$BC$53,6,FALSE))/1000</f>
        <v>509.85654</v>
      </c>
      <c r="D36" s="213">
        <f>IF(ISNA(VLOOKUP($B$4,'Credit Card'!$A$5:$BC$53,17,FALSE))=TRUE,"Dept not Found",VLOOKUP($B$4,'Credit Card'!$A$5:$BC$53,17,FALSE))/1000</f>
        <v>502.99849999999998</v>
      </c>
      <c r="E36" s="213">
        <f>IF(ISNA(VLOOKUP($B$4,'Credit Card'!$A$5:$BC$53,28,FALSE))=TRUE,"Dept not Found",VLOOKUP($B$4,'Credit Card'!$A$5:$BC$53,28,FALSE))/1000</f>
        <v>621.13649999999996</v>
      </c>
      <c r="F36" s="213">
        <f>IF(ISNA(VLOOKUP($B$4,'Credit Card'!$A$5:$BC$53,39,FALSE))=TRUE,"Dept not Found",VLOOKUP($B$4,'Credit Card'!$A$5:$BC$53,39,FALSE))/1000</f>
        <v>578.15231000000006</v>
      </c>
      <c r="G36" s="213">
        <f>IF(ISNA(VLOOKUP($B$4,'Credit Card'!$A$5:$BC$53,50,FALSE))=TRUE,"Dept not Found",VLOOKUP($B$4,'Credit Card'!$A$5:$BC$53,50,FALSE))/1000</f>
        <v>719.13699999999994</v>
      </c>
      <c r="I36" s="302" t="s">
        <v>326</v>
      </c>
    </row>
    <row r="37" spans="2:9" ht="30" customHeight="1" x14ac:dyDescent="0.35">
      <c r="B37" s="193" t="s">
        <v>272</v>
      </c>
      <c r="C37" s="209">
        <f>IF(ISNA(VLOOKUP($B$4,'Credit Card'!$A$5:$BC$53,7,FALSE))=TRUE,"Dept not Found",VLOOKUP($B$4,'Credit Card'!$A$5:$BC$53,7,FALSE))</f>
        <v>42</v>
      </c>
      <c r="D37" s="209">
        <f>IF(ISNA(VLOOKUP($B$4,'Credit Card'!$A$5:$BC$53,18,FALSE))=TRUE,"Dept not Found",VLOOKUP($B$4,'Credit Card'!$A$5:$BC$53,18,FALSE))</f>
        <v>48</v>
      </c>
      <c r="E37" s="209">
        <f>IF(ISNA(VLOOKUP($B$4,'Credit Card'!$A$5:$BC$53,29,FALSE))=TRUE,"Dept not Found",VLOOKUP($B$4,'Credit Card'!$A$5:$BC$53,29,FALSE))</f>
        <v>53</v>
      </c>
      <c r="F37" s="209">
        <f>IF(ISNA(VLOOKUP($B$4,'Credit Card'!$A$5:$BC$53,40,FALSE))=TRUE,"Dept not Found",VLOOKUP($B$4,'Credit Card'!$A$5:$BC$53,40,FALSE))</f>
        <v>64</v>
      </c>
      <c r="G37" s="209">
        <f>IF(ISNA(VLOOKUP($B$4,'Credit Card'!$A$5:$BC$53,51,FALSE))=TRUE,"Dept not Found",VLOOKUP($B$4,'Credit Card'!$A$5:$BC$53,51,FALSE))</f>
        <v>47</v>
      </c>
      <c r="I37" s="302" t="s">
        <v>326</v>
      </c>
    </row>
    <row r="38" spans="2:9" ht="30" customHeight="1" x14ac:dyDescent="0.35">
      <c r="B38" s="193" t="s">
        <v>273</v>
      </c>
      <c r="C38" s="213">
        <f>IF(ISNA(VLOOKUP($B$4,'Credit Card'!$A$5:$BC$53,8,FALSE))=TRUE,"Dept not Found",VLOOKUP($B$4,'Credit Card'!$A$5:$BC$53,8,FALSE))/1000</f>
        <v>14.744459999999998</v>
      </c>
      <c r="D38" s="213">
        <f>IF(ISNA(VLOOKUP($B$4,'Credit Card'!$A$5:$BC$53,19,FALSE))=TRUE,"Dept not Found",VLOOKUP($B$4,'Credit Card'!$A$5:$BC$53,19,FALSE))/1000</f>
        <v>10.981999999999999</v>
      </c>
      <c r="E38" s="213">
        <f>IF(ISNA(VLOOKUP($B$4,'Credit Card'!$A$5:$BC$53,30,FALSE))=TRUE,"Dept not Found",VLOOKUP($B$4,'Credit Card'!$A$5:$BC$53,30,FALSE))/1000</f>
        <v>15.0824</v>
      </c>
      <c r="F38" s="213">
        <f>IF(ISNA(VLOOKUP($B$4,'Credit Card'!$A$5:$BC$53,41,FALSE))=TRUE,"Dept not Found",VLOOKUP($B$4,'Credit Card'!$A$5:$BC$53,41,FALSE))/1000</f>
        <v>15.728</v>
      </c>
      <c r="G38" s="213">
        <f>IF(ISNA(VLOOKUP($B$4,'Credit Card'!$A$5:$BC$53,52,FALSE))=TRUE,"Dept not Found",VLOOKUP($B$4,'Credit Card'!$A$5:$BC$53,52,FALSE))/1000</f>
        <v>15.56</v>
      </c>
      <c r="I38" s="302" t="s">
        <v>326</v>
      </c>
    </row>
    <row r="39" spans="2:9" ht="30" customHeight="1" x14ac:dyDescent="0.35">
      <c r="B39" s="193" t="s">
        <v>274</v>
      </c>
      <c r="C39" s="209">
        <f>IF(ISNA(VLOOKUP($B$4,'Credit Card'!$A$5:$BC$53,9,FALSE))=TRUE,"Dept not Found",VLOOKUP($B$4,'Credit Card'!$A$5:$BC$53,9,FALSE))</f>
        <v>6</v>
      </c>
      <c r="D39" s="209">
        <f>IF(ISNA(VLOOKUP($B$4,'Credit Card'!$A$5:$BC$53,20,FALSE))=TRUE,"Dept not Found",VLOOKUP($B$4,'Credit Card'!$A$5:$BC$53,20,FALSE))</f>
        <v>7</v>
      </c>
      <c r="E39" s="209">
        <f>IF(ISNA(VLOOKUP($B$4,'Credit Card'!$A$5:$BC$53,31,FALSE))=TRUE,"Dept not Found",VLOOKUP($B$4,'Credit Card'!$A$5:$BC$53,31,FALSE))</f>
        <v>7</v>
      </c>
      <c r="F39" s="209">
        <f>IF(ISNA(VLOOKUP($B$4,'Credit Card'!$A$5:$BC$53,42,FALSE))=TRUE,"Dept not Found",VLOOKUP($B$4,'Credit Card'!$A$5:$BC$53,42,FALSE))</f>
        <v>5</v>
      </c>
      <c r="G39" s="209">
        <f>IF(ISNA(VLOOKUP($B$4,'Credit Card'!$A$5:$BC$53,53,FALSE))=TRUE,"Dept not Found",VLOOKUP($B$4,'Credit Card'!$A$5:$BC$53,53,FALSE))</f>
        <v>6</v>
      </c>
      <c r="I39" s="302" t="s">
        <v>326</v>
      </c>
    </row>
    <row r="40" spans="2:9" ht="30" customHeight="1" x14ac:dyDescent="0.35">
      <c r="B40" s="193" t="s">
        <v>275</v>
      </c>
      <c r="C40" s="209">
        <f>IF(ISNA(VLOOKUP($B$4,'Credit Card'!$A$5:$BC$53,10,FALSE))=TRUE,"Dept not Found",VLOOKUP($B$4,'Credit Card'!$A$5:$BC$53,10,FALSE))</f>
        <v>4</v>
      </c>
      <c r="D40" s="209">
        <f>IF(ISNA(VLOOKUP($B$4,'Credit Card'!$A$5:$BC$53,21,FALSE))=TRUE,"Dept not Found",VLOOKUP($B$4,'Credit Card'!$A$5:$BC$53,21,FALSE))</f>
        <v>5</v>
      </c>
      <c r="E40" s="209">
        <f>IF(ISNA(VLOOKUP($B$4,'Credit Card'!$A$5:$BC$53,32,FALSE))=TRUE,"Dept not Found",VLOOKUP($B$4,'Credit Card'!$A$5:$BC$53,32,FALSE))</f>
        <v>5</v>
      </c>
      <c r="F40" s="209">
        <f>IF(ISNA(VLOOKUP($B$4,'Credit Card'!$A$5:$BC$53,43,FALSE))=TRUE,"Dept not Found",VLOOKUP($B$4,'Credit Card'!$A$5:$BC$53,43,FALSE))</f>
        <v>5</v>
      </c>
      <c r="G40" s="209">
        <f>IF(ISNA(VLOOKUP($B$4,'Credit Card'!$A$5:$BC$53,54,FALSE))=TRUE,"Dept not Found",VLOOKUP($B$4,'Credit Card'!$A$5:$BC$53,54,FALSE))</f>
        <v>5</v>
      </c>
      <c r="I40" s="302" t="s">
        <v>326</v>
      </c>
    </row>
    <row r="41" spans="2:9" ht="30" customHeight="1" x14ac:dyDescent="0.35">
      <c r="B41" s="193" t="s">
        <v>276</v>
      </c>
      <c r="C41" s="210">
        <f>IF(ISNA(VLOOKUP($B$4,'Credit Card'!$A$5:$BC$53,11,FALSE))=TRUE,"Dept not Found",VLOOKUP($B$4,'Credit Card'!$A$5:$BC$53,11,FALSE))</f>
        <v>0.66666666666666663</v>
      </c>
      <c r="D41" s="210">
        <f>IF(ISNA(VLOOKUP($B$4,'Credit Card'!$A$5:$BC$53,22,FALSE))=TRUE,"Dept not Found",VLOOKUP($B$4,'Credit Card'!$A$5:$BC$53,22,FALSE))</f>
        <v>0.7142857142857143</v>
      </c>
      <c r="E41" s="210">
        <f>IF(ISNA(VLOOKUP($B$4,'Credit Card'!$A$5:$BC$53,33,FALSE))=TRUE,"Dept not Found",VLOOKUP($B$4,'Credit Card'!$A$5:$BC$53,33,FALSE))</f>
        <v>0.7142857142857143</v>
      </c>
      <c r="F41" s="210">
        <f>IF(ISNA(VLOOKUP($B$4,'Credit Card'!$A$5:$BC$53,44,FALSE))=TRUE,"Dept not Found",VLOOKUP($B$4,'Credit Card'!$A$5:$BC$53,44,FALSE))</f>
        <v>1</v>
      </c>
      <c r="G41" s="210">
        <f>IF(ISNA(VLOOKUP($B$4,'Credit Card'!$A$5:$BC$53,55,FALSE))=TRUE,"Dept not Found",VLOOKUP($B$4,'Credit Card'!$A$5:$BC$53,55,FALSE))</f>
        <v>0.83333333333333337</v>
      </c>
      <c r="I41" s="302" t="s">
        <v>326</v>
      </c>
    </row>
    <row r="42" spans="2:9" ht="30" customHeight="1" x14ac:dyDescent="0.35">
      <c r="B42" s="193" t="s">
        <v>279</v>
      </c>
      <c r="C42" s="209">
        <f>IF(ISNA(VLOOKUP($B$4,'Concur Approvers'!$A$5:$T$53,2,FALSE))=TRUE,"Dept not Found",VLOOKUP($B$4,'Concur Approvers'!$A$5:$T$53,2,FALSE))</f>
        <v>2</v>
      </c>
      <c r="D42" s="209">
        <f>IF(ISNA(VLOOKUP($B$4,'Concur Approvers'!$A$5:$T$53,6,FALSE))=TRUE,"Dept not Found",VLOOKUP($B$4,'Concur Approvers'!$A$5:$T$53,6,FALSE))</f>
        <v>6</v>
      </c>
      <c r="E42" s="209">
        <f>IF(ISNA(VLOOKUP($B$4,'Concur Approvers'!$A$5:$T$53,10,FALSE))=TRUE,"Dept not Found",VLOOKUP($B$4,'Concur Approvers'!$A$5:$T$53,10,FALSE))</f>
        <v>2</v>
      </c>
      <c r="F42" s="209">
        <f>IF(ISNA(VLOOKUP($B$4,'Concur Approvers'!$A$5:$T$53,14,FALSE))=TRUE,"Dept not Found",VLOOKUP($B$4,'Concur Approvers'!$A$5:$T$53,14,FALSE))</f>
        <v>3</v>
      </c>
      <c r="G42" s="209">
        <f>IF(ISNA(VLOOKUP($B$4,'Concur Approvers'!$A$5:$T$53,18,FALSE))=TRUE,"Dept not Found",VLOOKUP($B$4,'Concur Approvers'!$A$5:$T$53,18,FALSE))</f>
        <v>3</v>
      </c>
      <c r="I42" s="298" t="s">
        <v>361</v>
      </c>
    </row>
    <row r="43" spans="2:9" ht="30" customHeight="1" x14ac:dyDescent="0.35">
      <c r="B43" s="193" t="s">
        <v>280</v>
      </c>
      <c r="C43" s="209">
        <f>IF(ISNA(VLOOKUP($B$4,'Concur Approvers'!$A$5:$T$53,3,FALSE))=TRUE,"Dept not Found",VLOOKUP($B$4,'Concur Approvers'!$A$5:$T$53,3,FALSE))</f>
        <v>2</v>
      </c>
      <c r="D43" s="209">
        <f>IF(ISNA(VLOOKUP($B$4,'Concur Approvers'!$A$5:$T$53,7,FALSE))=TRUE,"Dept not Found",VLOOKUP($B$4,'Concur Approvers'!$A$5:$T$53,7,FALSE))</f>
        <v>2</v>
      </c>
      <c r="E43" s="209">
        <f>IF(ISNA(VLOOKUP($B$4,'Concur Approvers'!$A$5:$T$53,11,FALSE))=TRUE,"Dept not Found",VLOOKUP($B$4,'Concur Approvers'!$A$5:$T$53,11,FALSE))</f>
        <v>1</v>
      </c>
      <c r="F43" s="209">
        <f>IF(ISNA(VLOOKUP($B$4,'Concur Approvers'!$A$5:$T$53,15,FALSE))=TRUE,"Dept not Found",VLOOKUP($B$4,'Concur Approvers'!$A$5:$T$53,15,FALSE))</f>
        <v>1</v>
      </c>
      <c r="G43" s="209">
        <f>IF(ISNA(VLOOKUP($B$4,'Concur Approvers'!$A$5:$T$53,19,FALSE))=TRUE,"Dept not Found",VLOOKUP($B$4,'Concur Approvers'!$A$5:$T$53,19,FALSE))</f>
        <v>2</v>
      </c>
      <c r="I43" s="298" t="s">
        <v>361</v>
      </c>
    </row>
    <row r="44" spans="2:9" ht="30" customHeight="1" x14ac:dyDescent="0.35">
      <c r="B44" s="193" t="s">
        <v>281</v>
      </c>
      <c r="C44" s="210">
        <f>IF(ISNA(VLOOKUP($B$4,'Concur Approvers'!$A$5:$T$53,4,FALSE))=TRUE,"Dept not Found",VLOOKUP($B$4,'Concur Approvers'!$A$5:$T$53,4,FALSE))</f>
        <v>1</v>
      </c>
      <c r="D44" s="210">
        <f>IF(ISNA(VLOOKUP($B$4,'Concur Approvers'!$A$5:$T$53,8,FALSE))=TRUE,"Dept not Found",VLOOKUP($B$4,'Concur Approvers'!$A$5:$T$53,8,FALSE))</f>
        <v>0.33333333333333331</v>
      </c>
      <c r="E44" s="210">
        <f>IF(ISNA(VLOOKUP($B$4,'Concur Approvers'!$A$5:$T$53,12,FALSE))=TRUE,"Dept not Found",VLOOKUP($B$4,'Concur Approvers'!$A$5:$T$53,12,FALSE))</f>
        <v>0.5</v>
      </c>
      <c r="F44" s="210">
        <f>IF(ISNA(VLOOKUP($B$4,'Concur Approvers'!$A$5:$T$53,16,FALSE))=TRUE,"Dept not Found",VLOOKUP($B$4,'Concur Approvers'!$A$5:$T$53,16,FALSE))</f>
        <v>0.33333333333333331</v>
      </c>
      <c r="G44" s="210">
        <f>IF(ISNA(VLOOKUP($B$4,'Concur Approvers'!$A$5:$T$53,20,FALSE))=TRUE,"Dept not Found",VLOOKUP($B$4,'Concur Approvers'!$A$5:$T$53,20,FALSE))</f>
        <v>0.66666666666666663</v>
      </c>
      <c r="I44" s="298" t="s">
        <v>361</v>
      </c>
    </row>
    <row r="45" spans="2:9" ht="30" customHeight="1" x14ac:dyDescent="0.35">
      <c r="B45" s="193" t="s">
        <v>329</v>
      </c>
      <c r="C45" s="213">
        <f>IF(ISNA(VLOOKUP($B$4,'Gift Funds'!$A$5:$T$53,2,FALSE))=TRUE,"Dept not Found",VLOOKUP($B$4,'Gift Funds'!$A$5:$T$53,2,FALSE))/1000</f>
        <v>3697.0396700000028</v>
      </c>
      <c r="D45" s="213">
        <f>IF(ISNA(VLOOKUP($B$4,'Gift Funds'!$A$5:$T$53,6,FALSE))=TRUE,"Dept not Found",VLOOKUP($B$4,'Gift Funds'!$A$5:$T$53,6,FALSE))/1000</f>
        <v>3623.8218299999994</v>
      </c>
      <c r="E45" s="213">
        <f>IF(ISNA(VLOOKUP($B$4,'Gift Funds'!$A$5:$T$53,10,FALSE))=TRUE,"Dept not Found",VLOOKUP($B$4,'Gift Funds'!$A$5:$T$53,10,FALSE))/1000</f>
        <v>3526.1492800000005</v>
      </c>
      <c r="F45" s="213">
        <f>IF(ISNA(VLOOKUP($B$4,'Gift Funds'!$A$5:$T$53,14,FALSE))=TRUE,"Dept not Found",VLOOKUP($B$4,'Gift Funds'!$A$5:$T$53,14,FALSE))/1000</f>
        <v>3440.3598899999988</v>
      </c>
      <c r="G45" s="213">
        <f>IF(ISNA(VLOOKUP($B$4,'Gift Funds'!$A$5:$T$53,18,FALSE))=TRUE,"Dept not Found",VLOOKUP($B$4,'Gift Funds'!$A$5:$T$53,18,FALSE))/1000</f>
        <v>3393.2322999999978</v>
      </c>
      <c r="I45" s="298" t="s">
        <v>283</v>
      </c>
    </row>
    <row r="46" spans="2:9" ht="30" customHeight="1" x14ac:dyDescent="0.35">
      <c r="B46" s="193" t="s">
        <v>284</v>
      </c>
      <c r="C46" s="209">
        <f>IF(ISNA(VLOOKUP($B$4,'Gift Funds'!$A$5:$T$53,3,FALSE))=TRUE,"Dept not Found",VLOOKUP($B$4,'Gift Funds'!$A$5:$T$53,3,FALSE))</f>
        <v>9</v>
      </c>
      <c r="D46" s="209">
        <f>IF(ISNA(VLOOKUP($B$4,'Gift Funds'!$A$5:$T$53,7,FALSE))=TRUE,"Dept not Found",VLOOKUP($B$4,'Gift Funds'!$A$5:$T$53,7,FALSE))</f>
        <v>11</v>
      </c>
      <c r="E46" s="209">
        <f>IF(ISNA(VLOOKUP($B$4,'Gift Funds'!$A$5:$T$53,11,FALSE))=TRUE,"Dept not Found",VLOOKUP($B$4,'Gift Funds'!$A$5:$T$53,11,FALSE))</f>
        <v>8</v>
      </c>
      <c r="F46" s="209">
        <f>IF(ISNA(VLOOKUP($B$4,'Gift Funds'!$A$5:$T$53,15,FALSE))=TRUE,"Dept not Found",VLOOKUP($B$4,'Gift Funds'!$A$5:$T$53,15,FALSE))</f>
        <v>7</v>
      </c>
      <c r="G46" s="209">
        <f>IF(ISNA(VLOOKUP($B$4,'Gift Funds'!$A$5:$T$53,19,FALSE))=TRUE,"Dept not Found",VLOOKUP($B$4,'Gift Funds'!$A$5:$T$53,19,FALSE))</f>
        <v>8</v>
      </c>
      <c r="I46" s="298" t="s">
        <v>283</v>
      </c>
    </row>
    <row r="47" spans="2:9" ht="30" customHeight="1" x14ac:dyDescent="0.35">
      <c r="B47" s="193" t="s">
        <v>285</v>
      </c>
      <c r="C47" s="213">
        <f>IF(ISNA(VLOOKUP($B$4,'Gift Funds'!$A$5:$T$53,4,FALSE))=TRUE,"Dept not Found",VLOOKUP($B$4,'Gift Funds'!$A$5:$T$53,4,FALSE))/1000</f>
        <v>265.12279999999998</v>
      </c>
      <c r="D47" s="213">
        <f>IF(ISNA(VLOOKUP($B$4,'Gift Funds'!$A$5:$T$53,8,FALSE))=TRUE,"Dept not Found",VLOOKUP($B$4,'Gift Funds'!$A$5:$T$53,8,FALSE))/1000</f>
        <v>300.30802</v>
      </c>
      <c r="E47" s="213">
        <f>IF(ISNA(VLOOKUP($B$4,'Gift Funds'!$A$5:$T$53,12,FALSE))=TRUE,"Dept not Found",VLOOKUP($B$4,'Gift Funds'!$A$5:$T$53,12,FALSE))/1000</f>
        <v>115.04312</v>
      </c>
      <c r="F47" s="213">
        <f>IF(ISNA(VLOOKUP($B$4,'Gift Funds'!$A$5:$T$53,16,FALSE))=TRUE,"Dept not Found",VLOOKUP($B$4,'Gift Funds'!$A$5:$T$53,16,FALSE))/1000</f>
        <v>129.36783</v>
      </c>
      <c r="G47" s="213">
        <f>IF(ISNA(VLOOKUP($B$4,'Gift Funds'!$A$5:$T$53,20,FALSE))=TRUE,"Dept not Found",VLOOKUP($B$4,'Gift Funds'!$A$5:$T$53,20,FALSE))/1000</f>
        <v>155.04402000000002</v>
      </c>
      <c r="I47" s="298" t="s">
        <v>283</v>
      </c>
    </row>
    <row r="48" spans="2:9" ht="30" customHeight="1" x14ac:dyDescent="0.35">
      <c r="B48" s="193" t="s">
        <v>288</v>
      </c>
      <c r="C48" s="213">
        <f>IF(ISNA(VLOOKUP($B$4,'Financial Aid'!$A$5:$AN$53,2,FALSE))=TRUE,"Dept not Found",VLOOKUP($B$4,'Financial Aid'!$A$5:$AN$53,2,FALSE))/1000</f>
        <v>8172.0870000000004</v>
      </c>
      <c r="D48" s="213">
        <f>IF(ISNA(VLOOKUP($B$4,'Financial Aid'!$A$5:$AN$53,10,FALSE))=TRUE,"Dept not Found",VLOOKUP($B$4,'Financial Aid'!$A$5:$AN$53,10,FALSE))/1000</f>
        <v>9525.1450000000004</v>
      </c>
      <c r="E48" s="213">
        <f>IF(ISNA(VLOOKUP($B$4,'Financial Aid'!$A$5:$AN$53,18,FALSE))=TRUE,"Dept not Found",VLOOKUP($B$4,'Financial Aid'!$A$5:$AN$53,18,FALSE))/1000</f>
        <v>10286.931</v>
      </c>
      <c r="F48" s="213">
        <f>IF(ISNA(VLOOKUP($B$4,'Financial Aid'!$A$5:$AN$53,26,FALSE))=TRUE,"Dept not Found",VLOOKUP($B$4,'Financial Aid'!$A$5:$AN$53,26,FALSE))/1000</f>
        <v>10307.286660000003</v>
      </c>
      <c r="G48" s="213">
        <f>IF(ISNA(VLOOKUP($B$4,'Financial Aid'!$A$5:$AN$53,34,FALSE))=TRUE,"Dept not Found",VLOOKUP($B$4,'Financial Aid'!$A$5:$AN$53,34,FALSE))/1000</f>
        <v>9825.0190900000052</v>
      </c>
      <c r="I48" s="298" t="s">
        <v>287</v>
      </c>
    </row>
    <row r="49" spans="2:9" ht="30" customHeight="1" x14ac:dyDescent="0.35">
      <c r="B49" s="193" t="s">
        <v>289</v>
      </c>
      <c r="C49" s="213">
        <f>IF(ISNA(VLOOKUP($B$4,'Financial Aid'!$A$5:$AN$53,3,FALSE))=TRUE,"Dept not Found",VLOOKUP($B$4,'Financial Aid'!$A$5:$AN$53,3,FALSE))/1000</f>
        <v>417.69499999999999</v>
      </c>
      <c r="D49" s="213">
        <f>IF(ISNA(VLOOKUP($B$4,'Financial Aid'!$A$5:$AN$53,11,FALSE))=TRUE,"Dept not Found",VLOOKUP($B$4,'Financial Aid'!$A$5:$AN$53,11,FALSE))/1000</f>
        <v>777.47900000000004</v>
      </c>
      <c r="E49" s="213">
        <f>IF(ISNA(VLOOKUP($B$4,'Financial Aid'!$A$5:$AN$53,19,FALSE))=TRUE,"Dept not Found",VLOOKUP($B$4,'Financial Aid'!$A$5:$AN$53,19,FALSE))/1000</f>
        <v>986.779</v>
      </c>
      <c r="F49" s="213">
        <f>IF(ISNA(VLOOKUP($B$4,'Financial Aid'!$A$5:$AN$53,27,FALSE))=TRUE,"Dept not Found",VLOOKUP($B$4,'Financial Aid'!$A$5:$AN$53,27,FALSE))/1000</f>
        <v>624.94149000000004</v>
      </c>
      <c r="G49" s="213">
        <f>IF(ISNA(VLOOKUP($B$4,'Financial Aid'!$A$5:$AN$53,35,FALSE))=TRUE,"Dept not Found",VLOOKUP($B$4,'Financial Aid'!$A$5:$AN$53,35,FALSE))/1000</f>
        <v>680.20810999999969</v>
      </c>
      <c r="I49" s="298" t="s">
        <v>287</v>
      </c>
    </row>
    <row r="50" spans="2:9" ht="30" customHeight="1" x14ac:dyDescent="0.35">
      <c r="B50" s="193" t="s">
        <v>290</v>
      </c>
      <c r="C50" s="210">
        <f>IF(ISNA(VLOOKUP($B$4,'Financial Aid'!$A$5:$AN$53,4,FALSE))=TRUE,"Dept not Found",VLOOKUP($B$4,'Financial Aid'!$A$5:$AN$53,4,FALSE))</f>
        <v>5.111240249889655E-2</v>
      </c>
      <c r="D50" s="210">
        <f>IF(ISNA(VLOOKUP($B$4,'Financial Aid'!$A$5:$AN$53,12,FALSE))=TRUE,"Dept not Found",VLOOKUP($B$4,'Financial Aid'!$A$5:$AN$53,12,FALSE))</f>
        <v>8.1623849295732506E-2</v>
      </c>
      <c r="E50" s="210">
        <f>IF(ISNA(VLOOKUP($B$4,'Financial Aid'!$A$5:$AN$53,20,FALSE))=TRUE,"Dept not Found",VLOOKUP($B$4,'Financial Aid'!$A$5:$AN$53,20,FALSE))</f>
        <v>9.592550003494725E-2</v>
      </c>
      <c r="F50" s="210">
        <f>IF(ISNA(VLOOKUP($B$4,'Financial Aid'!$A$5:$AN$53,28,FALSE))=TRUE,"Dept not Found",VLOOKUP($B$4,'Financial Aid'!$A$5:$AN$53,28,FALSE))</f>
        <v>6.0631038081558487E-2</v>
      </c>
      <c r="G50" s="210">
        <f>IF(ISNA(VLOOKUP($B$4,'Financial Aid'!$A$5:$AN$53,36,FALSE))=TRUE,"Dept not Found",VLOOKUP($B$4,'Financial Aid'!$A$5:$AN$53,36,FALSE))</f>
        <v>6.9232243089717926E-2</v>
      </c>
      <c r="I50" s="298" t="s">
        <v>287</v>
      </c>
    </row>
    <row r="51" spans="2:9" ht="30" customHeight="1" x14ac:dyDescent="0.35">
      <c r="B51" s="193" t="s">
        <v>291</v>
      </c>
      <c r="C51" s="213">
        <f>IF(ISNA(VLOOKUP($B$4,'Financial Aid'!$A$5:$AN$53,5,FALSE))=TRUE,"Dept not Found",VLOOKUP($B$4,'Financial Aid'!$A$5:$AN$53,5,FALSE))/1000</f>
        <v>490.185</v>
      </c>
      <c r="D51" s="213">
        <f>IF(ISNA(VLOOKUP($B$4,'Financial Aid'!$A$5:$AN$53,13,FALSE))=TRUE,"Dept not Found",VLOOKUP($B$4,'Financial Aid'!$A$5:$AN$53,13,FALSE))/1000</f>
        <v>597.76400000000001</v>
      </c>
      <c r="E51" s="213">
        <f>IF(ISNA(VLOOKUP($B$4,'Financial Aid'!$A$5:$AN$53,21,FALSE))=TRUE,"Dept not Found",VLOOKUP($B$4,'Financial Aid'!$A$5:$AN$53,21,FALSE))/1000</f>
        <v>704.60400000000004</v>
      </c>
      <c r="F51" s="213">
        <f>IF(ISNA(VLOOKUP($B$4,'Financial Aid'!$A$5:$AN$53,29,FALSE))=TRUE,"Dept not Found",VLOOKUP($B$4,'Financial Aid'!$A$5:$AN$53,29,FALSE))/1000</f>
        <v>732.55997999999977</v>
      </c>
      <c r="G51" s="213">
        <f>IF(ISNA(VLOOKUP($B$4,'Financial Aid'!$A$5:$AN$53,37,FALSE))=TRUE,"Dept not Found",VLOOKUP($B$4,'Financial Aid'!$A$5:$AN$53,37,FALSE))/1000</f>
        <v>642.33908000000008</v>
      </c>
      <c r="I51" s="298" t="s">
        <v>287</v>
      </c>
    </row>
    <row r="52" spans="2:9" ht="30" customHeight="1" x14ac:dyDescent="0.35">
      <c r="B52" s="193" t="s">
        <v>292</v>
      </c>
      <c r="C52" s="210">
        <f>IF(ISNA(VLOOKUP($B$4,'Financial Aid'!$A$5:$AN$53,6,FALSE))=TRUE,"Dept not Found",VLOOKUP($B$4,'Financial Aid'!$A$5:$AN$53,6,FALSE))</f>
        <v>5.9982841592361905E-2</v>
      </c>
      <c r="D52" s="210">
        <f>IF(ISNA(VLOOKUP($B$4,'Financial Aid'!$A$5:$AN$53,14,FALSE))=TRUE,"Dept not Found",VLOOKUP($B$4,'Financial Aid'!$A$5:$AN$53,14,FALSE))</f>
        <v>6.2756419981008157E-2</v>
      </c>
      <c r="E52" s="210">
        <f>IF(ISNA(VLOOKUP($B$4,'Financial Aid'!$A$5:$AN$53,22,FALSE))=TRUE,"Dept not Found",VLOOKUP($B$4,'Financial Aid'!$A$5:$AN$53,22,FALSE))</f>
        <v>6.8495064271355571E-2</v>
      </c>
      <c r="F52" s="210">
        <f>IF(ISNA(VLOOKUP($B$4,'Financial Aid'!$A$5:$AN$53,30,FALSE))=TRUE,"Dept not Found",VLOOKUP($B$4,'Financial Aid'!$A$5:$AN$53,30,FALSE))</f>
        <v>7.10720487519651E-2</v>
      </c>
      <c r="G52" s="210">
        <f>IF(ISNA(VLOOKUP($B$4,'Financial Aid'!$A$5:$AN$53,38,FALSE))=TRUE,"Dept not Found",VLOOKUP($B$4,'Financial Aid'!$A$5:$AN$53,38,FALSE))</f>
        <v>6.5377896380250156E-2</v>
      </c>
      <c r="I52" s="298" t="s">
        <v>287</v>
      </c>
    </row>
    <row r="53" spans="2:9" ht="30" customHeight="1" x14ac:dyDescent="0.35">
      <c r="B53" s="193" t="s">
        <v>293</v>
      </c>
      <c r="C53" s="209">
        <f>IF(ISNA(VLOOKUP($B$4,'Financial Aid'!$A$5:$AN$53,7,FALSE))=TRUE,"Dept not Found",VLOOKUP($B$4,'Financial Aid'!$A$5:$AN$53,7,FALSE))</f>
        <v>1</v>
      </c>
      <c r="D53" s="209">
        <f>IF(ISNA(VLOOKUP($B$4,'Financial Aid'!$A$5:$AN$53,15,FALSE))=TRUE,"Dept not Found",VLOOKUP($B$4,'Financial Aid'!$A$5:$AN$53,15,FALSE))</f>
        <v>0</v>
      </c>
      <c r="E53" s="209">
        <f>IF(ISNA(VLOOKUP($B$4,'Financial Aid'!$A$5:$AN$53,23,FALSE))=TRUE,"Dept not Found",VLOOKUP($B$4,'Financial Aid'!$A$5:$AN$53,23,FALSE))</f>
        <v>0</v>
      </c>
      <c r="F53" s="209">
        <f>IF(ISNA(VLOOKUP($B$4,'Financial Aid'!$A$5:$AN$53,31,FALSE))=TRUE,"Dept not Found",VLOOKUP($B$4,'Financial Aid'!$A$5:$AN$53,31,FALSE))</f>
        <v>0</v>
      </c>
      <c r="G53" s="209">
        <f>IF(ISNA(VLOOKUP($B$4,'Financial Aid'!$A$5:$AN$53,39,FALSE))=TRUE,"Dept not Found",VLOOKUP($B$4,'Financial Aid'!$A$5:$AN$53,39,FALSE))</f>
        <v>0</v>
      </c>
      <c r="I53" s="298" t="s">
        <v>287</v>
      </c>
    </row>
    <row r="54" spans="2:9" ht="30" customHeight="1" x14ac:dyDescent="0.35">
      <c r="B54" s="193" t="s">
        <v>294</v>
      </c>
      <c r="C54" s="213">
        <f>IF(ISNA(VLOOKUP($B$4,'Financial Aid'!$A$5:$AN$53,8,FALSE))=TRUE,"Dept not Found",VLOOKUP($B$4,'Financial Aid'!$A$5:$AN$53,8,FALSE))/1000</f>
        <v>0.75</v>
      </c>
      <c r="D54" s="213">
        <f>IF(ISNA(VLOOKUP($B$4,'Financial Aid'!$A$5:$AN$53,16,FALSE))=TRUE,"Dept not Found",VLOOKUP($B$4,'Financial Aid'!$A$5:$AN$53,16,FALSE))/1000</f>
        <v>0</v>
      </c>
      <c r="E54" s="213">
        <f>IF(ISNA(VLOOKUP($B$4,'Financial Aid'!$A$5:$AN$53,24,FALSE))=TRUE,"Dept not Found",VLOOKUP($B$4,'Financial Aid'!$A$5:$AN$53,24,FALSE))/1000</f>
        <v>0</v>
      </c>
      <c r="F54" s="213">
        <f>IF(ISNA(VLOOKUP($B$4,'Financial Aid'!$A$5:$AN$53,32,FALSE))=TRUE,"Dept not Found",VLOOKUP($B$4,'Financial Aid'!$A$5:$AN$53,32,FALSE))/1000</f>
        <v>0</v>
      </c>
      <c r="G54" s="213">
        <f>IF(ISNA(VLOOKUP($B$4,'Financial Aid'!$A$5:$AN$53,40,FALSE))=TRUE,"Dept not Found",VLOOKUP($B$4,'Financial Aid'!$A$5:$AN$53,40,FALSE))/1000</f>
        <v>0</v>
      </c>
      <c r="I54" s="298" t="s">
        <v>287</v>
      </c>
    </row>
    <row r="55" spans="2:9" ht="30" customHeight="1" x14ac:dyDescent="0.35">
      <c r="B55" s="193" t="s">
        <v>295</v>
      </c>
      <c r="C55" s="209">
        <f>IF(ISNA(VLOOKUP($B$4,'Capital Equipment'!$A$5:$AB$53,2,FALSE))=TRUE,"Dept not Found",VLOOKUP($B$4,'Capital Equipment'!$A$5:$AB$53,2,FALSE))</f>
        <v>7</v>
      </c>
      <c r="D55" s="209">
        <f>IF(ISNA(VLOOKUP($B$4,'Capital Equipment'!$A$5:$AB$53,6,FALSE))=TRUE,"Dept not Found",VLOOKUP($B$4,'Capital Equipment'!$A$5:$AB$53,6,FALSE))</f>
        <v>6</v>
      </c>
      <c r="E55" s="209">
        <f>IF(ISNA(VLOOKUP($B$4,'Capital Equipment'!$A$5:$AB$53,12,FALSE))=TRUE,"Dept not Found",VLOOKUP($B$4,'Capital Equipment'!$A$5:$AB$53,12,FALSE))</f>
        <v>6</v>
      </c>
      <c r="F55" s="209">
        <f>IF(ISNA(VLOOKUP($B$4,'Capital Equipment'!$A$5:$AB$53,18,FALSE))=TRUE,"Dept not Found",VLOOKUP($B$4,'Capital Equipment'!$A$5:$AB$53,18,FALSE))</f>
        <v>22</v>
      </c>
      <c r="G55" s="209">
        <f>IF(ISNA(VLOOKUP($B$4,'Capital Equipment'!$A$5:$AB$53,24,FALSE))=TRUE,"Dept not Found",VLOOKUP($B$4,'Capital Equipment'!$A$5:$AB$53,24,FALSE))</f>
        <v>22</v>
      </c>
      <c r="I55" s="298" t="s">
        <v>363</v>
      </c>
    </row>
    <row r="56" spans="2:9" ht="30" customHeight="1" x14ac:dyDescent="0.35">
      <c r="B56" s="193" t="s">
        <v>251</v>
      </c>
      <c r="C56" s="212"/>
      <c r="D56" s="209">
        <f>IF(ISNA(VLOOKUP($B$4,'Capital Equipment'!$A$5:$AB$53,7,FALSE))=TRUE,"Dept not Found",VLOOKUP($B$4,'Capital Equipment'!$A$5:$AB$53,7,FALSE))</f>
        <v>6</v>
      </c>
      <c r="E56" s="209">
        <f>IF(ISNA(VLOOKUP($B$4,'Capital Equipment'!$A$5:$AB$53,13,FALSE))=TRUE,"Dept not Found",VLOOKUP($B$4,'Capital Equipment'!$A$5:$AB$53,13,FALSE))</f>
        <v>0</v>
      </c>
      <c r="F56" s="209">
        <f>IF(ISNA(VLOOKUP($B$4,'Capital Equipment'!$A$5:$AB$53,19,FALSE))=TRUE,"Dept not Found",VLOOKUP($B$4,'Capital Equipment'!$A$5:$AB$53,19,FALSE))</f>
        <v>0</v>
      </c>
      <c r="G56" s="209">
        <f>IF(ISNA(VLOOKUP($B$4,'Capital Equipment'!$A$5:$AB$53,25,FALSE))=TRUE,"Dept not Found",VLOOKUP($B$4,'Capital Equipment'!$A$5:$AB$53,25,FALSE))</f>
        <v>0</v>
      </c>
      <c r="I56" s="298" t="s">
        <v>363</v>
      </c>
    </row>
    <row r="57" spans="2:9" ht="30" customHeight="1" x14ac:dyDescent="0.35">
      <c r="B57" s="193" t="s">
        <v>321</v>
      </c>
      <c r="C57" s="210"/>
      <c r="D57" s="210">
        <f>IF(ISNA(VLOOKUP($B$4,'Capital Equipment'!$A$5:$AB$53,8,FALSE))=TRUE,"Dept not Found",VLOOKUP($B$4,'Capital Equipment'!$A$5:$AB$53,8,FALSE))</f>
        <v>1</v>
      </c>
      <c r="E57" s="210">
        <f>IF(ISNA(VLOOKUP($B$4,'Capital Equipment'!$A$5:$AB$53,14,FALSE))=TRUE,"Dept not Found",VLOOKUP($B$4,'Capital Equipment'!$A$5:$AB$53,14,FALSE))</f>
        <v>0</v>
      </c>
      <c r="F57" s="210">
        <f>IF(ISNA(VLOOKUP($B$4,'Capital Equipment'!$A$5:$AB$53,20,FALSE))=TRUE,"Dept not Found",VLOOKUP($B$4,'Capital Equipment'!$A$5:$AB$53,20,FALSE))</f>
        <v>0</v>
      </c>
      <c r="G57" s="210">
        <f>IF(ISNA(VLOOKUP($B$4,'Capital Equipment'!$A$5:$AB$53,26,FALSE))=TRUE,"Dept not Found",VLOOKUP($B$4,'Capital Equipment'!$A$5:$AB$53,26,FALSE))</f>
        <v>0</v>
      </c>
      <c r="I57" s="298" t="s">
        <v>363</v>
      </c>
    </row>
    <row r="58" spans="2:9" ht="30" customHeight="1" x14ac:dyDescent="0.35">
      <c r="B58" s="193" t="s">
        <v>295</v>
      </c>
      <c r="C58" s="209">
        <f>IF(ISNA(VLOOKUP($B$4,'Capital Equipment'!$A$5:$AB$53,3,FALSE))=TRUE,"Dept not Found",VLOOKUP($B$4,'Capital Equipment'!$A$5:$AB$53,3,FALSE))</f>
        <v>0</v>
      </c>
      <c r="D58" s="209">
        <f>IF(ISNA(VLOOKUP($B$4,'Capital Equipment'!$A$5:$AB$53,9,FALSE))=TRUE,"Dept not Found",VLOOKUP($B$4,'Capital Equipment'!$A$5:$AB$53,9,FALSE))</f>
        <v>0</v>
      </c>
      <c r="E58" s="209">
        <f>IF(ISNA(VLOOKUP($B$4,'Capital Equipment'!$A$5:$AB$53,15,FALSE))=TRUE,"Dept not Found",VLOOKUP($B$4,'Capital Equipment'!$A$5:$AB$53,15,FALSE))</f>
        <v>0</v>
      </c>
      <c r="F58" s="209">
        <f>IF(ISNA(VLOOKUP($B$4,'Capital Equipment'!$A$5:$AB$53,21,FALSE))=TRUE,"Dept not Found",VLOOKUP($B$4,'Capital Equipment'!$A$5:$AB$53,21,FALSE))</f>
        <v>0</v>
      </c>
      <c r="G58" s="209">
        <f>IF(ISNA(VLOOKUP($B$4,'Capital Equipment'!$A$5:$AB$53,27,FALSE))=TRUE,"Dept not Found",VLOOKUP($B$4,'Capital Equipment'!$A$5:$AB$53,27,FALSE))</f>
        <v>0</v>
      </c>
      <c r="I58" s="298" t="s">
        <v>296</v>
      </c>
    </row>
    <row r="59" spans="2:9" ht="30" customHeight="1" x14ac:dyDescent="0.35">
      <c r="B59" s="193" t="s">
        <v>328</v>
      </c>
      <c r="C59" s="210">
        <f>IF(ISNA(VLOOKUP($B$4,'Capital Equipment'!$A$5:$AB$53,4,FALSE))=TRUE,"Dept not Found",VLOOKUP($B$4,'Capital Equipment'!$A$5:$AB$53,4,FALSE))</f>
        <v>0</v>
      </c>
      <c r="D59" s="210">
        <f>IF(ISNA(VLOOKUP($B$4,'Capital Equipment'!$A$5:$AB$53,10,FALSE))=TRUE,"Dept not Found",VLOOKUP($B$4,'Capital Equipment'!$A$5:$AB$53,10,FALSE))</f>
        <v>0</v>
      </c>
      <c r="E59" s="210">
        <f>IF(ISNA(VLOOKUP($B$4,'Capital Equipment'!$A$5:$AB$53,16,FALSE))=TRUE,"Dept not Found",VLOOKUP($B$4,'Capital Equipment'!$A$5:$AB$53,16,FALSE))</f>
        <v>0</v>
      </c>
      <c r="F59" s="210">
        <f>IF(ISNA(VLOOKUP($B$4,'Capital Equipment'!$A$5:$AB$53,22,FALSE))=TRUE,"Dept not Found",VLOOKUP($B$4,'Capital Equipment'!$A$5:$AB$53,22,FALSE))</f>
        <v>0</v>
      </c>
      <c r="G59" s="210">
        <f>IF(ISNA(VLOOKUP($B$4,'Capital Equipment'!$A$5:$AB$53,28,FALSE))=TRUE,"Dept not Found",VLOOKUP($B$4,'Capital Equipment'!$A$5:$AB$53,28,FALSE))</f>
        <v>0</v>
      </c>
      <c r="I59" s="298" t="s">
        <v>296</v>
      </c>
    </row>
    <row r="60" spans="2:9" ht="30" customHeight="1" x14ac:dyDescent="0.35">
      <c r="B60" s="193" t="s">
        <v>362</v>
      </c>
      <c r="C60" s="213">
        <f>IF(ISNA(VLOOKUP($B$4,'T&amp;E Spend'!$A$5:$T$53,2,FALSE))=TRUE,"Dept not Found",VLOOKUP($B$4,'T&amp;E Spend'!$A$5:$T$53,2,FALSE))/1000</f>
        <v>837.72540000000151</v>
      </c>
      <c r="D60" s="213">
        <f>IF(ISNA(VLOOKUP($B$4,'T&amp;E Spend'!$A$5:$T$53,6,FALSE))=TRUE,"Dept not Found",VLOOKUP($B$4,'T&amp;E Spend'!$A$5:$T$53,6,FALSE))/1000</f>
        <v>1042.6496700000012</v>
      </c>
      <c r="E60" s="213">
        <f>IF(ISNA(VLOOKUP($B$4,'T&amp;E Spend'!$A$5:$T$53,10,FALSE))=TRUE,"Dept not Found",VLOOKUP($B$4,'T&amp;E Spend'!$A$5:$T$53,10,FALSE))/1000</f>
        <v>1176.8349500000008</v>
      </c>
      <c r="F60" s="213">
        <f>IF(ISNA(VLOOKUP($B$4,'T&amp;E Spend'!$A$5:$T$53,14,FALSE))=TRUE,"Dept not Found",VLOOKUP($B$4,'T&amp;E Spend'!$A$5:$T$53,14,FALSE))/1000</f>
        <v>905.22874000000115</v>
      </c>
      <c r="G60" s="213">
        <f>IF(ISNA(VLOOKUP($B$4,'T&amp;E Spend'!$A$5:$T$53,18,FALSE))=TRUE,"Dept not Found",VLOOKUP($B$4,'T&amp;E Spend'!$A$5:$T$53,18,FALSE))/1000</f>
        <v>241.6509699999998</v>
      </c>
      <c r="I60" s="298" t="s">
        <v>278</v>
      </c>
    </row>
    <row r="61" spans="2:9" ht="30" customHeight="1" x14ac:dyDescent="0.35">
      <c r="B61" s="193" t="s">
        <v>364</v>
      </c>
      <c r="C61" s="213">
        <f>IF(ISNA(VLOOKUP($B$4,'T&amp;E Spend'!$A$5:$T$53,3,FALSE))=TRUE,"Dept not Found",VLOOKUP($B$4,'T&amp;E Spend'!$A$5:$T$53,3,FALSE))/1000</f>
        <v>650.50503000000163</v>
      </c>
      <c r="D61" s="213">
        <f>IF(ISNA(VLOOKUP($B$4,'T&amp;E Spend'!$A$5:$T$53,7,FALSE))=TRUE,"Dept not Found",VLOOKUP($B$4,'T&amp;E Spend'!$A$5:$T$53,7,FALSE))/1000</f>
        <v>782.34963000000118</v>
      </c>
      <c r="E61" s="213">
        <f>IF(ISNA(VLOOKUP($B$4,'T&amp;E Spend'!$A$5:$T$53,11,FALSE))=TRUE,"Dept not Found",VLOOKUP($B$4,'T&amp;E Spend'!$A$5:$T$53,11,FALSE))/1000</f>
        <v>817.97506000000101</v>
      </c>
      <c r="F61" s="213">
        <f>IF(ISNA(VLOOKUP($B$4,'T&amp;E Spend'!$A$5:$T$53,15,FALSE))=TRUE,"Dept not Found",VLOOKUP($B$4,'T&amp;E Spend'!$A$5:$T$53,15,FALSE))/1000</f>
        <v>532.02860000000078</v>
      </c>
      <c r="G61" s="213">
        <f>IF(ISNA(VLOOKUP($B$4,'T&amp;E Spend'!$A$5:$T$53,19,FALSE))=TRUE,"Dept not Found",VLOOKUP($B$4,'T&amp;E Spend'!$A$5:$T$53,19,FALSE))/1000</f>
        <v>19.364020000000011</v>
      </c>
      <c r="I61" s="298" t="s">
        <v>278</v>
      </c>
    </row>
    <row r="62" spans="2:9" ht="30" customHeight="1" x14ac:dyDescent="0.35">
      <c r="B62" s="193" t="s">
        <v>365</v>
      </c>
      <c r="C62" s="213">
        <f>IF(ISNA(VLOOKUP($B$4,'T&amp;E Spend'!$A$5:$T$53,4,FALSE))=TRUE,"Dept not Found",VLOOKUP($B$4,'T&amp;E Spend'!$A$5:$T$53,4,FALSE))/1000</f>
        <v>187.22036999999995</v>
      </c>
      <c r="D62" s="213">
        <f>IF(ISNA(VLOOKUP($B$4,'T&amp;E Spend'!$A$5:$T$53,8,FALSE))=TRUE,"Dept not Found",VLOOKUP($B$4,'T&amp;E Spend'!$A$5:$T$53,8,FALSE))/1000</f>
        <v>260.30003999999991</v>
      </c>
      <c r="E62" s="213">
        <f>IF(ISNA(VLOOKUP($B$4,'T&amp;E Spend'!$A$5:$T$53,12,FALSE))=TRUE,"Dept not Found",VLOOKUP($B$4,'T&amp;E Spend'!$A$5:$T$53,12,FALSE))/1000</f>
        <v>358.85988999999984</v>
      </c>
      <c r="F62" s="213">
        <f>IF(ISNA(VLOOKUP($B$4,'T&amp;E Spend'!$A$5:$T$53,16,FALSE))=TRUE,"Dept not Found",VLOOKUP($B$4,'T&amp;E Spend'!$A$5:$T$53,16,FALSE))/1000</f>
        <v>373.20014000000037</v>
      </c>
      <c r="G62" s="213">
        <f>IF(ISNA(VLOOKUP($B$4,'T&amp;E Spend'!$A$5:$T$53,20,FALSE))=TRUE,"Dept not Found",VLOOKUP($B$4,'T&amp;E Spend'!$A$5:$T$53,20,FALSE))/1000</f>
        <v>222.28694999999979</v>
      </c>
      <c r="I62" s="298" t="s">
        <v>278</v>
      </c>
    </row>
    <row r="63" spans="2:9" ht="30" customHeight="1" x14ac:dyDescent="0.35">
      <c r="B63" s="193" t="s">
        <v>323</v>
      </c>
      <c r="C63" s="212"/>
      <c r="D63" s="212"/>
      <c r="E63" s="212"/>
      <c r="F63" s="212"/>
      <c r="G63" s="212"/>
    </row>
    <row r="64" spans="2:9" ht="30" customHeight="1" x14ac:dyDescent="0.35">
      <c r="B64" s="193" t="s">
        <v>239</v>
      </c>
      <c r="C64" s="212"/>
      <c r="D64" s="212"/>
      <c r="E64" s="212"/>
      <c r="F64" s="212"/>
      <c r="G64" s="212"/>
    </row>
    <row r="65" spans="2:7" ht="30" customHeight="1" x14ac:dyDescent="0.35">
      <c r="B65" s="193" t="s">
        <v>240</v>
      </c>
      <c r="C65" s="212"/>
      <c r="D65" s="212"/>
      <c r="E65" s="212"/>
      <c r="F65" s="212"/>
      <c r="G65" s="212"/>
    </row>
    <row r="66" spans="2:7" ht="30" customHeight="1" x14ac:dyDescent="0.35">
      <c r="B66" s="193" t="s">
        <v>241</v>
      </c>
      <c r="C66" s="212"/>
      <c r="D66" s="212"/>
      <c r="E66" s="212"/>
      <c r="F66" s="212"/>
      <c r="G66" s="212"/>
    </row>
  </sheetData>
  <sheetProtection selectLockedCells="1"/>
  <mergeCells count="2">
    <mergeCell ref="B1:G2"/>
    <mergeCell ref="B3:G3"/>
  </mergeCells>
  <conditionalFormatting sqref="B7 G63:G66 B9:B44 B46:B66">
    <cfRule type="expression" dxfId="229" priority="1339">
      <formula>MOD(ROW(),2)=0</formula>
    </cfRule>
  </conditionalFormatting>
  <conditionalFormatting sqref="B7 G63:G66 B9:B44 B46:B66">
    <cfRule type="expression" dxfId="228" priority="1338">
      <formula>MOD(ROW(),2)=0</formula>
    </cfRule>
  </conditionalFormatting>
  <conditionalFormatting sqref="C20:G20">
    <cfRule type="expression" dxfId="227" priority="450">
      <formula>MOD(ROW(),2)=0</formula>
    </cfRule>
  </conditionalFormatting>
  <conditionalFormatting sqref="C20:G20">
    <cfRule type="expression" dxfId="226" priority="449">
      <formula>MOD(ROW(),2)=0</formula>
    </cfRule>
  </conditionalFormatting>
  <conditionalFormatting sqref="C22:G22">
    <cfRule type="expression" dxfId="225" priority="448">
      <formula>MOD(ROW(),2)=0</formula>
    </cfRule>
  </conditionalFormatting>
  <conditionalFormatting sqref="C22:G22">
    <cfRule type="expression" dxfId="224" priority="447">
      <formula>MOD(ROW(),2)=0</formula>
    </cfRule>
  </conditionalFormatting>
  <conditionalFormatting sqref="C42:G44">
    <cfRule type="expression" dxfId="223" priority="446">
      <formula>MOD(ROW(),2)=0</formula>
    </cfRule>
  </conditionalFormatting>
  <conditionalFormatting sqref="C42:G44">
    <cfRule type="expression" dxfId="222" priority="445">
      <formula>MOD(ROW(),2)=0</formula>
    </cfRule>
  </conditionalFormatting>
  <conditionalFormatting sqref="C38:G38">
    <cfRule type="expression" dxfId="221" priority="412">
      <formula>MOD(ROW(),2)=0</formula>
    </cfRule>
  </conditionalFormatting>
  <conditionalFormatting sqref="C38:G38">
    <cfRule type="expression" dxfId="220" priority="411">
      <formula>MOD(ROW(),2)=0</formula>
    </cfRule>
  </conditionalFormatting>
  <conditionalFormatting sqref="C39:G39">
    <cfRule type="expression" dxfId="219" priority="410">
      <formula>MOD(ROW(),2)=0</formula>
    </cfRule>
  </conditionalFormatting>
  <conditionalFormatting sqref="C39:G39">
    <cfRule type="expression" dxfId="218" priority="409">
      <formula>MOD(ROW(),2)=0</formula>
    </cfRule>
  </conditionalFormatting>
  <conditionalFormatting sqref="C40:G40">
    <cfRule type="expression" dxfId="217" priority="408">
      <formula>MOD(ROW(),2)=0</formula>
    </cfRule>
  </conditionalFormatting>
  <conditionalFormatting sqref="C40:G40">
    <cfRule type="expression" dxfId="216" priority="407">
      <formula>MOD(ROW(),2)=0</formula>
    </cfRule>
  </conditionalFormatting>
  <conditionalFormatting sqref="C41:G41">
    <cfRule type="expression" dxfId="215" priority="406">
      <formula>MOD(ROW(),2)=0</formula>
    </cfRule>
  </conditionalFormatting>
  <conditionalFormatting sqref="C41:G41">
    <cfRule type="expression" dxfId="214" priority="405">
      <formula>MOD(ROW(),2)=0</formula>
    </cfRule>
  </conditionalFormatting>
  <conditionalFormatting sqref="C41:G41">
    <cfRule type="expression" dxfId="213" priority="404">
      <formula>MOD(ROW(),2)=0</formula>
    </cfRule>
  </conditionalFormatting>
  <conditionalFormatting sqref="C41:G41">
    <cfRule type="expression" dxfId="212" priority="403">
      <formula>MOD(ROW(),2)=0</formula>
    </cfRule>
  </conditionalFormatting>
  <conditionalFormatting sqref="C32:G32">
    <cfRule type="expression" dxfId="211" priority="402">
      <formula>MOD(ROW(),2)=0</formula>
    </cfRule>
  </conditionalFormatting>
  <conditionalFormatting sqref="C32:G32">
    <cfRule type="expression" dxfId="210" priority="401">
      <formula>MOD(ROW(),2)=0</formula>
    </cfRule>
  </conditionalFormatting>
  <conditionalFormatting sqref="C33:G33">
    <cfRule type="expression" dxfId="209" priority="400">
      <formula>MOD(ROW(),2)=0</formula>
    </cfRule>
  </conditionalFormatting>
  <conditionalFormatting sqref="C33:G33">
    <cfRule type="expression" dxfId="208" priority="399">
      <formula>MOD(ROW(),2)=0</formula>
    </cfRule>
  </conditionalFormatting>
  <conditionalFormatting sqref="C34">
    <cfRule type="expression" dxfId="207" priority="398">
      <formula>MOD(ROW(),2)=0</formula>
    </cfRule>
  </conditionalFormatting>
  <conditionalFormatting sqref="C34">
    <cfRule type="expression" dxfId="206" priority="397">
      <formula>MOD(ROW(),2)=0</formula>
    </cfRule>
  </conditionalFormatting>
  <conditionalFormatting sqref="C46:G47">
    <cfRule type="expression" dxfId="205" priority="396">
      <formula>MOD(ROW(),2)=0</formula>
    </cfRule>
  </conditionalFormatting>
  <conditionalFormatting sqref="C46:G47">
    <cfRule type="expression" dxfId="204" priority="395">
      <formula>MOD(ROW(),2)=0</formula>
    </cfRule>
  </conditionalFormatting>
  <conditionalFormatting sqref="C46:G46">
    <cfRule type="expression" dxfId="203" priority="394">
      <formula>MOD(ROW(),2)=0</formula>
    </cfRule>
  </conditionalFormatting>
  <conditionalFormatting sqref="C46:G46">
    <cfRule type="expression" dxfId="202" priority="393">
      <formula>MOD(ROW(),2)=0</formula>
    </cfRule>
  </conditionalFormatting>
  <conditionalFormatting sqref="C47:G47">
    <cfRule type="expression" dxfId="201" priority="392">
      <formula>MOD(ROW(),2)=0</formula>
    </cfRule>
  </conditionalFormatting>
  <conditionalFormatting sqref="C47:G47">
    <cfRule type="expression" dxfId="200" priority="391">
      <formula>MOD(ROW(),2)=0</formula>
    </cfRule>
  </conditionalFormatting>
  <conditionalFormatting sqref="C48:G54">
    <cfRule type="expression" dxfId="199" priority="388">
      <formula>MOD(ROW(),2)=0</formula>
    </cfRule>
  </conditionalFormatting>
  <conditionalFormatting sqref="C48:G54">
    <cfRule type="expression" dxfId="198" priority="387">
      <formula>MOD(ROW(),2)=0</formula>
    </cfRule>
  </conditionalFormatting>
  <conditionalFormatting sqref="G34">
    <cfRule type="expression" dxfId="197" priority="735">
      <formula>MOD(ROW(),2)=0</formula>
    </cfRule>
  </conditionalFormatting>
  <conditionalFormatting sqref="C55:C66 C7:G7 C9:G11 C23:G25 D60:G62">
    <cfRule type="expression" dxfId="196" priority="484">
      <formula>MOD(ROW(),2)=0</formula>
    </cfRule>
  </conditionalFormatting>
  <conditionalFormatting sqref="C55:C66 C7:G7 C9:G12 C23:G25 D60:G62">
    <cfRule type="expression" dxfId="195" priority="483">
      <formula>MOD(ROW(),2)=0</formula>
    </cfRule>
  </conditionalFormatting>
  <conditionalFormatting sqref="C55">
    <cfRule type="expression" dxfId="194" priority="482">
      <formula>MOD(ROW(),2)=0</formula>
    </cfRule>
  </conditionalFormatting>
  <conditionalFormatting sqref="C55">
    <cfRule type="expression" dxfId="193" priority="481">
      <formula>MOD(ROW(),2)=0</formula>
    </cfRule>
  </conditionalFormatting>
  <conditionalFormatting sqref="C58">
    <cfRule type="expression" dxfId="192" priority="480">
      <formula>MOD(ROW(),2)=0</formula>
    </cfRule>
  </conditionalFormatting>
  <conditionalFormatting sqref="C58">
    <cfRule type="expression" dxfId="191" priority="479">
      <formula>MOD(ROW(),2)=0</formula>
    </cfRule>
  </conditionalFormatting>
  <conditionalFormatting sqref="C59">
    <cfRule type="expression" dxfId="190" priority="478">
      <formula>MOD(ROW(),2)=0</formula>
    </cfRule>
  </conditionalFormatting>
  <conditionalFormatting sqref="C59">
    <cfRule type="expression" dxfId="189" priority="477">
      <formula>MOD(ROW(),2)=0</formula>
    </cfRule>
  </conditionalFormatting>
  <conditionalFormatting sqref="C62:G62">
    <cfRule type="expression" dxfId="188" priority="476">
      <formula>MOD(ROW(),2)=0</formula>
    </cfRule>
  </conditionalFormatting>
  <conditionalFormatting sqref="C62:G62">
    <cfRule type="expression" dxfId="187" priority="475">
      <formula>MOD(ROW(),2)=0</formula>
    </cfRule>
  </conditionalFormatting>
  <conditionalFormatting sqref="C56">
    <cfRule type="expression" dxfId="186" priority="474">
      <formula>MOD(ROW(),2)=0</formula>
    </cfRule>
  </conditionalFormatting>
  <conditionalFormatting sqref="C56">
    <cfRule type="expression" dxfId="185" priority="473">
      <formula>MOD(ROW(),2)=0</formula>
    </cfRule>
  </conditionalFormatting>
  <conditionalFormatting sqref="G34">
    <cfRule type="expression" dxfId="184" priority="736">
      <formula>MOD(ROW(),2)=0</formula>
    </cfRule>
  </conditionalFormatting>
  <conditionalFormatting sqref="C48:G49">
    <cfRule type="expression" dxfId="183" priority="386">
      <formula>MOD(ROW(),2)=0</formula>
    </cfRule>
  </conditionalFormatting>
  <conditionalFormatting sqref="C48:G49">
    <cfRule type="expression" dxfId="182" priority="385">
      <formula>MOD(ROW(),2)=0</formula>
    </cfRule>
  </conditionalFormatting>
  <conditionalFormatting sqref="C50:G50">
    <cfRule type="expression" dxfId="181" priority="384">
      <formula>MOD(ROW(),2)=0</formula>
    </cfRule>
  </conditionalFormatting>
  <conditionalFormatting sqref="C50:G50">
    <cfRule type="expression" dxfId="180" priority="383">
      <formula>MOD(ROW(),2)=0</formula>
    </cfRule>
  </conditionalFormatting>
  <conditionalFormatting sqref="G58">
    <cfRule type="expression" dxfId="179" priority="577">
      <formula>MOD(ROW(),2)=0</formula>
    </cfRule>
  </conditionalFormatting>
  <conditionalFormatting sqref="G59">
    <cfRule type="expression" dxfId="178" priority="580">
      <formula>MOD(ROW(),2)=0</formula>
    </cfRule>
  </conditionalFormatting>
  <conditionalFormatting sqref="G59">
    <cfRule type="expression" dxfId="177" priority="579">
      <formula>MOD(ROW(),2)=0</formula>
    </cfRule>
  </conditionalFormatting>
  <conditionalFormatting sqref="G58">
    <cfRule type="expression" dxfId="176" priority="578">
      <formula>MOD(ROW(),2)=0</formula>
    </cfRule>
  </conditionalFormatting>
  <conditionalFormatting sqref="G57">
    <cfRule type="expression" dxfId="175" priority="571">
      <formula>MOD(ROW(),2)=0</formula>
    </cfRule>
  </conditionalFormatting>
  <conditionalFormatting sqref="G55 G58:G59">
    <cfRule type="expression" dxfId="174" priority="586">
      <formula>MOD(ROW(),2)=0</formula>
    </cfRule>
  </conditionalFormatting>
  <conditionalFormatting sqref="G55 G58:G59">
    <cfRule type="expression" dxfId="173" priority="585">
      <formula>MOD(ROW(),2)=0</formula>
    </cfRule>
  </conditionalFormatting>
  <conditionalFormatting sqref="G55">
    <cfRule type="expression" dxfId="172" priority="584">
      <formula>MOD(ROW(),2)=0</formula>
    </cfRule>
  </conditionalFormatting>
  <conditionalFormatting sqref="G55">
    <cfRule type="expression" dxfId="171" priority="583">
      <formula>MOD(ROW(),2)=0</formula>
    </cfRule>
  </conditionalFormatting>
  <conditionalFormatting sqref="G58">
    <cfRule type="expression" dxfId="170" priority="582">
      <formula>MOD(ROW(),2)=0</formula>
    </cfRule>
  </conditionalFormatting>
  <conditionalFormatting sqref="G58">
    <cfRule type="expression" dxfId="169" priority="581">
      <formula>MOD(ROW(),2)=0</formula>
    </cfRule>
  </conditionalFormatting>
  <conditionalFormatting sqref="G56">
    <cfRule type="expression" dxfId="168" priority="576">
      <formula>MOD(ROW(),2)=0</formula>
    </cfRule>
  </conditionalFormatting>
  <conditionalFormatting sqref="G56">
    <cfRule type="expression" dxfId="167" priority="575">
      <formula>MOD(ROW(),2)=0</formula>
    </cfRule>
  </conditionalFormatting>
  <conditionalFormatting sqref="G56">
    <cfRule type="expression" dxfId="166" priority="574">
      <formula>MOD(ROW(),2)=0</formula>
    </cfRule>
  </conditionalFormatting>
  <conditionalFormatting sqref="G56">
    <cfRule type="expression" dxfId="165" priority="573">
      <formula>MOD(ROW(),2)=0</formula>
    </cfRule>
  </conditionalFormatting>
  <conditionalFormatting sqref="G57">
    <cfRule type="expression" dxfId="164" priority="572">
      <formula>MOD(ROW(),2)=0</formula>
    </cfRule>
  </conditionalFormatting>
  <conditionalFormatting sqref="C57">
    <cfRule type="expression" dxfId="163" priority="472">
      <formula>MOD(ROW(),2)=0</formula>
    </cfRule>
  </conditionalFormatting>
  <conditionalFormatting sqref="C57">
    <cfRule type="expression" dxfId="162" priority="471">
      <formula>MOD(ROW(),2)=0</formula>
    </cfRule>
  </conditionalFormatting>
  <conditionalFormatting sqref="C57">
    <cfRule type="expression" dxfId="161" priority="468">
      <formula>MOD(ROW(),2)=0</formula>
    </cfRule>
  </conditionalFormatting>
  <conditionalFormatting sqref="C7:G7">
    <cfRule type="expression" dxfId="160" priority="470">
      <formula>MOD(ROW(),2)=0</formula>
    </cfRule>
  </conditionalFormatting>
  <conditionalFormatting sqref="C57">
    <cfRule type="expression" dxfId="159" priority="469">
      <formula>MOD(ROW(),2)=0</formula>
    </cfRule>
  </conditionalFormatting>
  <conditionalFormatting sqref="C15:G15">
    <cfRule type="expression" dxfId="158" priority="466">
      <formula>MOD(ROW(),2)=0</formula>
    </cfRule>
  </conditionalFormatting>
  <conditionalFormatting sqref="C15:G15">
    <cfRule type="expression" dxfId="157" priority="465">
      <formula>MOD(ROW(),2)=0</formula>
    </cfRule>
  </conditionalFormatting>
  <conditionalFormatting sqref="C17:G17">
    <cfRule type="expression" dxfId="156" priority="464">
      <formula>MOD(ROW(),2)=0</formula>
    </cfRule>
  </conditionalFormatting>
  <conditionalFormatting sqref="C17:G17">
    <cfRule type="expression" dxfId="155" priority="463">
      <formula>MOD(ROW(),2)=0</formula>
    </cfRule>
  </conditionalFormatting>
  <conditionalFormatting sqref="C16:G16">
    <cfRule type="expression" dxfId="154" priority="462">
      <formula>MOD(ROW(),2)=0</formula>
    </cfRule>
  </conditionalFormatting>
  <conditionalFormatting sqref="C16:G16">
    <cfRule type="expression" dxfId="153" priority="461">
      <formula>MOD(ROW(),2)=0</formula>
    </cfRule>
  </conditionalFormatting>
  <conditionalFormatting sqref="C13:G14">
    <cfRule type="expression" dxfId="152" priority="460">
      <formula>MOD(ROW(),2)=0</formula>
    </cfRule>
  </conditionalFormatting>
  <conditionalFormatting sqref="C13:G14">
    <cfRule type="expression" dxfId="151" priority="459">
      <formula>MOD(ROW(),2)=0</formula>
    </cfRule>
  </conditionalFormatting>
  <conditionalFormatting sqref="C20:G20">
    <cfRule type="expression" dxfId="150" priority="458">
      <formula>MOD(ROW(),2)=0</formula>
    </cfRule>
  </conditionalFormatting>
  <conditionalFormatting sqref="C20:G20">
    <cfRule type="expression" dxfId="149" priority="457">
      <formula>MOD(ROW(),2)=0</formula>
    </cfRule>
  </conditionalFormatting>
  <conditionalFormatting sqref="C22:G22">
    <cfRule type="expression" dxfId="148" priority="456">
      <formula>MOD(ROW(),2)=0</formula>
    </cfRule>
  </conditionalFormatting>
  <conditionalFormatting sqref="C22:G22">
    <cfRule type="expression" dxfId="147" priority="455">
      <formula>MOD(ROW(),2)=0</formula>
    </cfRule>
  </conditionalFormatting>
  <conditionalFormatting sqref="C21:G21">
    <cfRule type="expression" dxfId="146" priority="454">
      <formula>MOD(ROW(),2)=0</formula>
    </cfRule>
  </conditionalFormatting>
  <conditionalFormatting sqref="C21:G21">
    <cfRule type="expression" dxfId="145" priority="453">
      <formula>MOD(ROW(),2)=0</formula>
    </cfRule>
  </conditionalFormatting>
  <conditionalFormatting sqref="C18:G19">
    <cfRule type="expression" dxfId="144" priority="452">
      <formula>MOD(ROW(),2)=0</formula>
    </cfRule>
  </conditionalFormatting>
  <conditionalFormatting sqref="C18:G19">
    <cfRule type="expression" dxfId="143" priority="451">
      <formula>MOD(ROW(),2)=0</formula>
    </cfRule>
  </conditionalFormatting>
  <conditionalFormatting sqref="C43:G43">
    <cfRule type="expression" dxfId="142" priority="444">
      <formula>MOD(ROW(),2)=0</formula>
    </cfRule>
  </conditionalFormatting>
  <conditionalFormatting sqref="C43:G43">
    <cfRule type="expression" dxfId="141" priority="443">
      <formula>MOD(ROW(),2)=0</formula>
    </cfRule>
  </conditionalFormatting>
  <conditionalFormatting sqref="C44:G44">
    <cfRule type="expression" dxfId="140" priority="442">
      <formula>MOD(ROW(),2)=0</formula>
    </cfRule>
  </conditionalFormatting>
  <conditionalFormatting sqref="C44:G44">
    <cfRule type="expression" dxfId="139" priority="441">
      <formula>MOD(ROW(),2)=0</formula>
    </cfRule>
  </conditionalFormatting>
  <conditionalFormatting sqref="C42:G42">
    <cfRule type="expression" dxfId="138" priority="440">
      <formula>MOD(ROW(),2)=0</formula>
    </cfRule>
  </conditionalFormatting>
  <conditionalFormatting sqref="C42:G42">
    <cfRule type="expression" dxfId="137" priority="439">
      <formula>MOD(ROW(),2)=0</formula>
    </cfRule>
  </conditionalFormatting>
  <conditionalFormatting sqref="C43:G43">
    <cfRule type="expression" dxfId="136" priority="438">
      <formula>MOD(ROW(),2)=0</formula>
    </cfRule>
  </conditionalFormatting>
  <conditionalFormatting sqref="C43:G43">
    <cfRule type="expression" dxfId="135" priority="437">
      <formula>MOD(ROW(),2)=0</formula>
    </cfRule>
  </conditionalFormatting>
  <conditionalFormatting sqref="C30:G31">
    <cfRule type="expression" dxfId="134" priority="436">
      <formula>MOD(ROW(),2)=0</formula>
    </cfRule>
  </conditionalFormatting>
  <conditionalFormatting sqref="C30:G31">
    <cfRule type="expression" dxfId="133" priority="435">
      <formula>MOD(ROW(),2)=0</formula>
    </cfRule>
  </conditionalFormatting>
  <conditionalFormatting sqref="C29:G29">
    <cfRule type="expression" dxfId="132" priority="434">
      <formula>MOD(ROW(),2)=0</formula>
    </cfRule>
  </conditionalFormatting>
  <conditionalFormatting sqref="C29:G29">
    <cfRule type="expression" dxfId="131" priority="433">
      <formula>MOD(ROW(),2)=0</formula>
    </cfRule>
  </conditionalFormatting>
  <conditionalFormatting sqref="C30:G30">
    <cfRule type="expression" dxfId="130" priority="432">
      <formula>MOD(ROW(),2)=0</formula>
    </cfRule>
  </conditionalFormatting>
  <conditionalFormatting sqref="C30:G30">
    <cfRule type="expression" dxfId="129" priority="431">
      <formula>MOD(ROW(),2)=0</formula>
    </cfRule>
  </conditionalFormatting>
  <conditionalFormatting sqref="C31:G31">
    <cfRule type="expression" dxfId="128" priority="430">
      <formula>MOD(ROW(),2)=0</formula>
    </cfRule>
  </conditionalFormatting>
  <conditionalFormatting sqref="C31:G31">
    <cfRule type="expression" dxfId="127" priority="429">
      <formula>MOD(ROW(),2)=0</formula>
    </cfRule>
  </conditionalFormatting>
  <conditionalFormatting sqref="C26:G26">
    <cfRule type="expression" dxfId="126" priority="428">
      <formula>MOD(ROW(),2)=0</formula>
    </cfRule>
  </conditionalFormatting>
  <conditionalFormatting sqref="C26:G26">
    <cfRule type="expression" dxfId="125" priority="427">
      <formula>MOD(ROW(),2)=0</formula>
    </cfRule>
  </conditionalFormatting>
  <conditionalFormatting sqref="C27">
    <cfRule type="expression" dxfId="124" priority="426">
      <formula>MOD(ROW(),2)=0</formula>
    </cfRule>
  </conditionalFormatting>
  <conditionalFormatting sqref="C27">
    <cfRule type="expression" dxfId="123" priority="425">
      <formula>MOD(ROW(),2)=0</formula>
    </cfRule>
  </conditionalFormatting>
  <conditionalFormatting sqref="C28:G28">
    <cfRule type="expression" dxfId="122" priority="424">
      <formula>MOD(ROW(),2)=0</formula>
    </cfRule>
  </conditionalFormatting>
  <conditionalFormatting sqref="C28:G28">
    <cfRule type="expression" dxfId="121" priority="423">
      <formula>MOD(ROW(),2)=0</formula>
    </cfRule>
  </conditionalFormatting>
  <conditionalFormatting sqref="C37:G40">
    <cfRule type="expression" dxfId="120" priority="422">
      <formula>MOD(ROW(),2)=0</formula>
    </cfRule>
  </conditionalFormatting>
  <conditionalFormatting sqref="C37:G40">
    <cfRule type="expression" dxfId="119" priority="421">
      <formula>MOD(ROW(),2)=0</formula>
    </cfRule>
  </conditionalFormatting>
  <conditionalFormatting sqref="C35:G35">
    <cfRule type="expression" dxfId="118" priority="420">
      <formula>MOD(ROW(),2)=0</formula>
    </cfRule>
  </conditionalFormatting>
  <conditionalFormatting sqref="C35:G35">
    <cfRule type="expression" dxfId="117" priority="419">
      <formula>MOD(ROW(),2)=0</formula>
    </cfRule>
  </conditionalFormatting>
  <conditionalFormatting sqref="C36:G36">
    <cfRule type="expression" dxfId="116" priority="418">
      <formula>MOD(ROW(),2)=0</formula>
    </cfRule>
  </conditionalFormatting>
  <conditionalFormatting sqref="C36:G36">
    <cfRule type="expression" dxfId="115" priority="417">
      <formula>MOD(ROW(),2)=0</formula>
    </cfRule>
  </conditionalFormatting>
  <conditionalFormatting sqref="C36:G36">
    <cfRule type="expression" dxfId="114" priority="416">
      <formula>MOD(ROW(),2)=0</formula>
    </cfRule>
  </conditionalFormatting>
  <conditionalFormatting sqref="C36:G36">
    <cfRule type="expression" dxfId="113" priority="415">
      <formula>MOD(ROW(),2)=0</formula>
    </cfRule>
  </conditionalFormatting>
  <conditionalFormatting sqref="C37:G37">
    <cfRule type="expression" dxfId="112" priority="414">
      <formula>MOD(ROW(),2)=0</formula>
    </cfRule>
  </conditionalFormatting>
  <conditionalFormatting sqref="C37:G37">
    <cfRule type="expression" dxfId="111" priority="413">
      <formula>MOD(ROW(),2)=0</formula>
    </cfRule>
  </conditionalFormatting>
  <conditionalFormatting sqref="C51:G51">
    <cfRule type="expression" dxfId="110" priority="382">
      <formula>MOD(ROW(),2)=0</formula>
    </cfRule>
  </conditionalFormatting>
  <conditionalFormatting sqref="C51:G51">
    <cfRule type="expression" dxfId="109" priority="381">
      <formula>MOD(ROW(),2)=0</formula>
    </cfRule>
  </conditionalFormatting>
  <conditionalFormatting sqref="C52:G52">
    <cfRule type="expression" dxfId="108" priority="380">
      <formula>MOD(ROW(),2)=0</formula>
    </cfRule>
  </conditionalFormatting>
  <conditionalFormatting sqref="C52:G52">
    <cfRule type="expression" dxfId="107" priority="379">
      <formula>MOD(ROW(),2)=0</formula>
    </cfRule>
  </conditionalFormatting>
  <conditionalFormatting sqref="C54:G54">
    <cfRule type="expression" dxfId="106" priority="376">
      <formula>MOD(ROW(),2)=0</formula>
    </cfRule>
  </conditionalFormatting>
  <conditionalFormatting sqref="C54:G54">
    <cfRule type="expression" dxfId="105" priority="375">
      <formula>MOD(ROW(),2)=0</formula>
    </cfRule>
  </conditionalFormatting>
  <conditionalFormatting sqref="C53:G53">
    <cfRule type="expression" dxfId="104" priority="378">
      <formula>MOD(ROW(),2)=0</formula>
    </cfRule>
  </conditionalFormatting>
  <conditionalFormatting sqref="C53:G53">
    <cfRule type="expression" dxfId="103" priority="377">
      <formula>MOD(ROW(),2)=0</formula>
    </cfRule>
  </conditionalFormatting>
  <conditionalFormatting sqref="C58">
    <cfRule type="expression" dxfId="102" priority="374">
      <formula>MOD(ROW(),2)=0</formula>
    </cfRule>
  </conditionalFormatting>
  <conditionalFormatting sqref="C58">
    <cfRule type="expression" dxfId="101" priority="373">
      <formula>MOD(ROW(),2)=0</formula>
    </cfRule>
  </conditionalFormatting>
  <conditionalFormatting sqref="D63:D66">
    <cfRule type="expression" dxfId="100" priority="372">
      <formula>MOD(ROW(),2)=0</formula>
    </cfRule>
  </conditionalFormatting>
  <conditionalFormatting sqref="D63:D66">
    <cfRule type="expression" dxfId="99" priority="371">
      <formula>MOD(ROW(),2)=0</formula>
    </cfRule>
  </conditionalFormatting>
  <conditionalFormatting sqref="D27">
    <cfRule type="expression" dxfId="98" priority="368">
      <formula>MOD(ROW(),2)=0</formula>
    </cfRule>
  </conditionalFormatting>
  <conditionalFormatting sqref="D27">
    <cfRule type="expression" dxfId="97" priority="367">
      <formula>MOD(ROW(),2)=0</formula>
    </cfRule>
  </conditionalFormatting>
  <conditionalFormatting sqref="D34">
    <cfRule type="expression" dxfId="96" priority="299">
      <formula>MOD(ROW(),2)=0</formula>
    </cfRule>
  </conditionalFormatting>
  <conditionalFormatting sqref="D34">
    <cfRule type="expression" dxfId="95" priority="298">
      <formula>MOD(ROW(),2)=0</formula>
    </cfRule>
  </conditionalFormatting>
  <conditionalFormatting sqref="D55 D58:D59">
    <cfRule type="expression" dxfId="94" priority="275">
      <formula>MOD(ROW(),2)=0</formula>
    </cfRule>
  </conditionalFormatting>
  <conditionalFormatting sqref="D55 D58:D59">
    <cfRule type="expression" dxfId="93" priority="274">
      <formula>MOD(ROW(),2)=0</formula>
    </cfRule>
  </conditionalFormatting>
  <conditionalFormatting sqref="D55">
    <cfRule type="expression" dxfId="92" priority="273">
      <formula>MOD(ROW(),2)=0</formula>
    </cfRule>
  </conditionalFormatting>
  <conditionalFormatting sqref="D55">
    <cfRule type="expression" dxfId="91" priority="272">
      <formula>MOD(ROW(),2)=0</formula>
    </cfRule>
  </conditionalFormatting>
  <conditionalFormatting sqref="D58">
    <cfRule type="expression" dxfId="90" priority="271">
      <formula>MOD(ROW(),2)=0</formula>
    </cfRule>
  </conditionalFormatting>
  <conditionalFormatting sqref="D58">
    <cfRule type="expression" dxfId="89" priority="270">
      <formula>MOD(ROW(),2)=0</formula>
    </cfRule>
  </conditionalFormatting>
  <conditionalFormatting sqref="D59">
    <cfRule type="expression" dxfId="88" priority="269">
      <formula>MOD(ROW(),2)=0</formula>
    </cfRule>
  </conditionalFormatting>
  <conditionalFormatting sqref="D59">
    <cfRule type="expression" dxfId="87" priority="268">
      <formula>MOD(ROW(),2)=0</formula>
    </cfRule>
  </conditionalFormatting>
  <conditionalFormatting sqref="D58">
    <cfRule type="expression" dxfId="86" priority="267">
      <formula>MOD(ROW(),2)=0</formula>
    </cfRule>
  </conditionalFormatting>
  <conditionalFormatting sqref="D58">
    <cfRule type="expression" dxfId="85" priority="266">
      <formula>MOD(ROW(),2)=0</formula>
    </cfRule>
  </conditionalFormatting>
  <conditionalFormatting sqref="D56">
    <cfRule type="expression" dxfId="84" priority="265">
      <formula>MOD(ROW(),2)=0</formula>
    </cfRule>
  </conditionalFormatting>
  <conditionalFormatting sqref="D56">
    <cfRule type="expression" dxfId="83" priority="264">
      <formula>MOD(ROW(),2)=0</formula>
    </cfRule>
  </conditionalFormatting>
  <conditionalFormatting sqref="D56">
    <cfRule type="expression" dxfId="82" priority="263">
      <formula>MOD(ROW(),2)=0</formula>
    </cfRule>
  </conditionalFormatting>
  <conditionalFormatting sqref="D56">
    <cfRule type="expression" dxfId="81" priority="262">
      <formula>MOD(ROW(),2)=0</formula>
    </cfRule>
  </conditionalFormatting>
  <conditionalFormatting sqref="D57">
    <cfRule type="expression" dxfId="80" priority="261">
      <formula>MOD(ROW(),2)=0</formula>
    </cfRule>
  </conditionalFormatting>
  <conditionalFormatting sqref="D57">
    <cfRule type="expression" dxfId="79" priority="260">
      <formula>MOD(ROW(),2)=0</formula>
    </cfRule>
  </conditionalFormatting>
  <conditionalFormatting sqref="E63:E66">
    <cfRule type="expression" dxfId="78" priority="259">
      <formula>MOD(ROW(),2)=0</formula>
    </cfRule>
  </conditionalFormatting>
  <conditionalFormatting sqref="E63:E66">
    <cfRule type="expression" dxfId="77" priority="258">
      <formula>MOD(ROW(),2)=0</formula>
    </cfRule>
  </conditionalFormatting>
  <conditionalFormatting sqref="E27">
    <cfRule type="expression" dxfId="76" priority="255">
      <formula>MOD(ROW(),2)=0</formula>
    </cfRule>
  </conditionalFormatting>
  <conditionalFormatting sqref="E27">
    <cfRule type="expression" dxfId="75" priority="254">
      <formula>MOD(ROW(),2)=0</formula>
    </cfRule>
  </conditionalFormatting>
  <conditionalFormatting sqref="E34">
    <cfRule type="expression" dxfId="74" priority="186">
      <formula>MOD(ROW(),2)=0</formula>
    </cfRule>
  </conditionalFormatting>
  <conditionalFormatting sqref="E34">
    <cfRule type="expression" dxfId="73" priority="185">
      <formula>MOD(ROW(),2)=0</formula>
    </cfRule>
  </conditionalFormatting>
  <conditionalFormatting sqref="E55 E58:E59">
    <cfRule type="expression" dxfId="72" priority="162">
      <formula>MOD(ROW(),2)=0</formula>
    </cfRule>
  </conditionalFormatting>
  <conditionalFormatting sqref="E55 E58:E59">
    <cfRule type="expression" dxfId="71" priority="161">
      <formula>MOD(ROW(),2)=0</formula>
    </cfRule>
  </conditionalFormatting>
  <conditionalFormatting sqref="E55">
    <cfRule type="expression" dxfId="70" priority="160">
      <formula>MOD(ROW(),2)=0</formula>
    </cfRule>
  </conditionalFormatting>
  <conditionalFormatting sqref="E55">
    <cfRule type="expression" dxfId="69" priority="159">
      <formula>MOD(ROW(),2)=0</formula>
    </cfRule>
  </conditionalFormatting>
  <conditionalFormatting sqref="E58">
    <cfRule type="expression" dxfId="68" priority="158">
      <formula>MOD(ROW(),2)=0</formula>
    </cfRule>
  </conditionalFormatting>
  <conditionalFormatting sqref="E58">
    <cfRule type="expression" dxfId="67" priority="157">
      <formula>MOD(ROW(),2)=0</formula>
    </cfRule>
  </conditionalFormatting>
  <conditionalFormatting sqref="E59">
    <cfRule type="expression" dxfId="66" priority="156">
      <formula>MOD(ROW(),2)=0</formula>
    </cfRule>
  </conditionalFormatting>
  <conditionalFormatting sqref="E59">
    <cfRule type="expression" dxfId="65" priority="155">
      <formula>MOD(ROW(),2)=0</formula>
    </cfRule>
  </conditionalFormatting>
  <conditionalFormatting sqref="E58">
    <cfRule type="expression" dxfId="64" priority="154">
      <formula>MOD(ROW(),2)=0</formula>
    </cfRule>
  </conditionalFormatting>
  <conditionalFormatting sqref="E58">
    <cfRule type="expression" dxfId="63" priority="153">
      <formula>MOD(ROW(),2)=0</formula>
    </cfRule>
  </conditionalFormatting>
  <conditionalFormatting sqref="E56">
    <cfRule type="expression" dxfId="62" priority="152">
      <formula>MOD(ROW(),2)=0</formula>
    </cfRule>
  </conditionalFormatting>
  <conditionalFormatting sqref="E56">
    <cfRule type="expression" dxfId="61" priority="151">
      <formula>MOD(ROW(),2)=0</formula>
    </cfRule>
  </conditionalFormatting>
  <conditionalFormatting sqref="E56">
    <cfRule type="expression" dxfId="60" priority="150">
      <formula>MOD(ROW(),2)=0</formula>
    </cfRule>
  </conditionalFormatting>
  <conditionalFormatting sqref="E56">
    <cfRule type="expression" dxfId="59" priority="149">
      <formula>MOD(ROW(),2)=0</formula>
    </cfRule>
  </conditionalFormatting>
  <conditionalFormatting sqref="E57">
    <cfRule type="expression" dxfId="58" priority="148">
      <formula>MOD(ROW(),2)=0</formula>
    </cfRule>
  </conditionalFormatting>
  <conditionalFormatting sqref="E57">
    <cfRule type="expression" dxfId="57" priority="147">
      <formula>MOD(ROW(),2)=0</formula>
    </cfRule>
  </conditionalFormatting>
  <conditionalFormatting sqref="F63:F66">
    <cfRule type="expression" dxfId="56" priority="146">
      <formula>MOD(ROW(),2)=0</formula>
    </cfRule>
  </conditionalFormatting>
  <conditionalFormatting sqref="F63:F66">
    <cfRule type="expression" dxfId="55" priority="145">
      <formula>MOD(ROW(),2)=0</formula>
    </cfRule>
  </conditionalFormatting>
  <conditionalFormatting sqref="F27:G27">
    <cfRule type="expression" dxfId="54" priority="106">
      <formula>MOD(ROW(),2)=0</formula>
    </cfRule>
  </conditionalFormatting>
  <conditionalFormatting sqref="F27:G27">
    <cfRule type="expression" dxfId="53" priority="105">
      <formula>MOD(ROW(),2)=0</formula>
    </cfRule>
  </conditionalFormatting>
  <conditionalFormatting sqref="F34">
    <cfRule type="expression" dxfId="52" priority="71">
      <formula>MOD(ROW(),2)=0</formula>
    </cfRule>
  </conditionalFormatting>
  <conditionalFormatting sqref="F34">
    <cfRule type="expression" dxfId="51" priority="72">
      <formula>MOD(ROW(),2)=0</formula>
    </cfRule>
  </conditionalFormatting>
  <conditionalFormatting sqref="F58">
    <cfRule type="expression" dxfId="50" priority="39">
      <formula>MOD(ROW(),2)=0</formula>
    </cfRule>
  </conditionalFormatting>
  <conditionalFormatting sqref="F59">
    <cfRule type="expression" dxfId="49" priority="42">
      <formula>MOD(ROW(),2)=0</formula>
    </cfRule>
  </conditionalFormatting>
  <conditionalFormatting sqref="F59">
    <cfRule type="expression" dxfId="48" priority="41">
      <formula>MOD(ROW(),2)=0</formula>
    </cfRule>
  </conditionalFormatting>
  <conditionalFormatting sqref="F58">
    <cfRule type="expression" dxfId="47" priority="40">
      <formula>MOD(ROW(),2)=0</formula>
    </cfRule>
  </conditionalFormatting>
  <conditionalFormatting sqref="F57">
    <cfRule type="expression" dxfId="46" priority="33">
      <formula>MOD(ROW(),2)=0</formula>
    </cfRule>
  </conditionalFormatting>
  <conditionalFormatting sqref="F55 F58:F59">
    <cfRule type="expression" dxfId="45" priority="48">
      <formula>MOD(ROW(),2)=0</formula>
    </cfRule>
  </conditionalFormatting>
  <conditionalFormatting sqref="F55 F58:F59">
    <cfRule type="expression" dxfId="44" priority="47">
      <formula>MOD(ROW(),2)=0</formula>
    </cfRule>
  </conditionalFormatting>
  <conditionalFormatting sqref="F55">
    <cfRule type="expression" dxfId="43" priority="46">
      <formula>MOD(ROW(),2)=0</formula>
    </cfRule>
  </conditionalFormatting>
  <conditionalFormatting sqref="F55">
    <cfRule type="expression" dxfId="42" priority="45">
      <formula>MOD(ROW(),2)=0</formula>
    </cfRule>
  </conditionalFormatting>
  <conditionalFormatting sqref="F58">
    <cfRule type="expression" dxfId="41" priority="44">
      <formula>MOD(ROW(),2)=0</formula>
    </cfRule>
  </conditionalFormatting>
  <conditionalFormatting sqref="F58">
    <cfRule type="expression" dxfId="40" priority="43">
      <formula>MOD(ROW(),2)=0</formula>
    </cfRule>
  </conditionalFormatting>
  <conditionalFormatting sqref="F56">
    <cfRule type="expression" dxfId="39" priority="38">
      <formula>MOD(ROW(),2)=0</formula>
    </cfRule>
  </conditionalFormatting>
  <conditionalFormatting sqref="F56">
    <cfRule type="expression" dxfId="38" priority="37">
      <formula>MOD(ROW(),2)=0</formula>
    </cfRule>
  </conditionalFormatting>
  <conditionalFormatting sqref="F56">
    <cfRule type="expression" dxfId="37" priority="36">
      <formula>MOD(ROW(),2)=0</formula>
    </cfRule>
  </conditionalFormatting>
  <conditionalFormatting sqref="F56">
    <cfRule type="expression" dxfId="36" priority="35">
      <formula>MOD(ROW(),2)=0</formula>
    </cfRule>
  </conditionalFormatting>
  <conditionalFormatting sqref="F57">
    <cfRule type="expression" dxfId="35" priority="34">
      <formula>MOD(ROW(),2)=0</formula>
    </cfRule>
  </conditionalFormatting>
  <conditionalFormatting sqref="G8 B8">
    <cfRule type="expression" dxfId="34" priority="32">
      <formula>MOD(ROW(),2)=0</formula>
    </cfRule>
  </conditionalFormatting>
  <conditionalFormatting sqref="G8 B8">
    <cfRule type="expression" dxfId="33" priority="31">
      <formula>MOD(ROW(),2)=0</formula>
    </cfRule>
  </conditionalFormatting>
  <conditionalFormatting sqref="C8">
    <cfRule type="expression" dxfId="32" priority="30">
      <formula>MOD(ROW(),2)=0</formula>
    </cfRule>
  </conditionalFormatting>
  <conditionalFormatting sqref="C8">
    <cfRule type="expression" dxfId="31" priority="29">
      <formula>MOD(ROW(),2)=0</formula>
    </cfRule>
  </conditionalFormatting>
  <conditionalFormatting sqref="D8">
    <cfRule type="expression" dxfId="30" priority="28">
      <formula>MOD(ROW(),2)=0</formula>
    </cfRule>
  </conditionalFormatting>
  <conditionalFormatting sqref="D8">
    <cfRule type="expression" dxfId="29" priority="27">
      <formula>MOD(ROW(),2)=0</formula>
    </cfRule>
  </conditionalFormatting>
  <conditionalFormatting sqref="E8">
    <cfRule type="expression" dxfId="28" priority="26">
      <formula>MOD(ROW(),2)=0</formula>
    </cfRule>
  </conditionalFormatting>
  <conditionalFormatting sqref="E8">
    <cfRule type="expression" dxfId="27" priority="25">
      <formula>MOD(ROW(),2)=0</formula>
    </cfRule>
  </conditionalFormatting>
  <conditionalFormatting sqref="F8">
    <cfRule type="expression" dxfId="26" priority="24">
      <formula>MOD(ROW(),2)=0</formula>
    </cfRule>
  </conditionalFormatting>
  <conditionalFormatting sqref="F8">
    <cfRule type="expression" dxfId="25" priority="23">
      <formula>MOD(ROW(),2)=0</formula>
    </cfRule>
  </conditionalFormatting>
  <conditionalFormatting sqref="B45">
    <cfRule type="expression" dxfId="24" priority="22">
      <formula>MOD(ROW(),2)=0</formula>
    </cfRule>
  </conditionalFormatting>
  <conditionalFormatting sqref="B45">
    <cfRule type="expression" dxfId="23" priority="21">
      <formula>MOD(ROW(),2)=0</formula>
    </cfRule>
  </conditionalFormatting>
  <conditionalFormatting sqref="C45">
    <cfRule type="expression" dxfId="22" priority="16">
      <formula>MOD(ROW(),2)=0</formula>
    </cfRule>
  </conditionalFormatting>
  <conditionalFormatting sqref="C45">
    <cfRule type="expression" dxfId="21" priority="15">
      <formula>MOD(ROW(),2)=0</formula>
    </cfRule>
  </conditionalFormatting>
  <conditionalFormatting sqref="C45">
    <cfRule type="expression" dxfId="20" priority="14">
      <formula>MOD(ROW(),2)=0</formula>
    </cfRule>
  </conditionalFormatting>
  <conditionalFormatting sqref="C45">
    <cfRule type="expression" dxfId="19" priority="13">
      <formula>MOD(ROW(),2)=0</formula>
    </cfRule>
  </conditionalFormatting>
  <conditionalFormatting sqref="G45">
    <cfRule type="expression" dxfId="18" priority="20">
      <formula>MOD(ROW(),2)=0</formula>
    </cfRule>
  </conditionalFormatting>
  <conditionalFormatting sqref="G45">
    <cfRule type="expression" dxfId="17" priority="19">
      <formula>MOD(ROW(),2)=0</formula>
    </cfRule>
  </conditionalFormatting>
  <conditionalFormatting sqref="G45">
    <cfRule type="expression" dxfId="16" priority="18">
      <formula>MOD(ROW(),2)=0</formula>
    </cfRule>
  </conditionalFormatting>
  <conditionalFormatting sqref="G45">
    <cfRule type="expression" dxfId="15" priority="17">
      <formula>MOD(ROW(),2)=0</formula>
    </cfRule>
  </conditionalFormatting>
  <conditionalFormatting sqref="D45">
    <cfRule type="expression" dxfId="14" priority="12">
      <formula>MOD(ROW(),2)=0</formula>
    </cfRule>
  </conditionalFormatting>
  <conditionalFormatting sqref="D45">
    <cfRule type="expression" dxfId="13" priority="11">
      <formula>MOD(ROW(),2)=0</formula>
    </cfRule>
  </conditionalFormatting>
  <conditionalFormatting sqref="D45">
    <cfRule type="expression" dxfId="12" priority="10">
      <formula>MOD(ROW(),2)=0</formula>
    </cfRule>
  </conditionalFormatting>
  <conditionalFormatting sqref="D45">
    <cfRule type="expression" dxfId="11" priority="9">
      <formula>MOD(ROW(),2)=0</formula>
    </cfRule>
  </conditionalFormatting>
  <conditionalFormatting sqref="E45">
    <cfRule type="expression" dxfId="10" priority="8">
      <formula>MOD(ROW(),2)=0</formula>
    </cfRule>
  </conditionalFormatting>
  <conditionalFormatting sqref="E45">
    <cfRule type="expression" dxfId="9" priority="7">
      <formula>MOD(ROW(),2)=0</formula>
    </cfRule>
  </conditionalFormatting>
  <conditionalFormatting sqref="E45">
    <cfRule type="expression" dxfId="8" priority="6">
      <formula>MOD(ROW(),2)=0</formula>
    </cfRule>
  </conditionalFormatting>
  <conditionalFormatting sqref="E45">
    <cfRule type="expression" dxfId="7" priority="5">
      <formula>MOD(ROW(),2)=0</formula>
    </cfRule>
  </conditionalFormatting>
  <conditionalFormatting sqref="F45">
    <cfRule type="expression" dxfId="6" priority="4">
      <formula>MOD(ROW(),2)=0</formula>
    </cfRule>
  </conditionalFormatting>
  <conditionalFormatting sqref="F45">
    <cfRule type="expression" dxfId="5" priority="3">
      <formula>MOD(ROW(),2)=0</formula>
    </cfRule>
  </conditionalFormatting>
  <conditionalFormatting sqref="F45">
    <cfRule type="expression" dxfId="4" priority="2">
      <formula>MOD(ROW(),2)=0</formula>
    </cfRule>
  </conditionalFormatting>
  <conditionalFormatting sqref="F45">
    <cfRule type="expression" dxfId="3" priority="1">
      <formula>MOD(ROW(),2)=0</formula>
    </cfRule>
  </conditionalFormatting>
  <dataValidations count="6">
    <dataValidation allowBlank="1" showInputMessage="1" showErrorMessage="1" prompt="Enter Metric Name in this column under this heading" sqref="B6"/>
    <dataValidation allowBlank="1" showInputMessage="1" showErrorMessage="1" prompt="Navigation link to Financial Report worksheet. Enter details in table below" sqref="B5"/>
    <dataValidation allowBlank="1" showInputMessage="1" showErrorMessage="1" prompt="Enter financial data of up to 25 key metrics and seven years in table starting in cell B5 in this worksheet. Select cell B4 to navigate to Financial Report worksheet" sqref="A1"/>
    <dataValidation allowBlank="1" showInputMessage="1" showErrorMessage="1" prompt="Year is automatically updated in this cell. Enter figures for this year in this column under this heading" sqref="C6:G6"/>
    <dataValidation allowBlank="1" showInputMessage="1" showErrorMessage="1" prompt="Tip is in this cell" sqref="B3:G4"/>
    <dataValidation allowBlank="1" showInputMessage="1" showErrorMessage="1" prompt="Title of this worksheet is in this cell and tip in cell below" sqref="B1:G2"/>
  </dataValidations>
  <hyperlinks>
    <hyperlink ref="B5" location="'Financial Report'!A1" tooltip="Select to navigate to Financial Report worksheet " display="Tap to view Financial Report"/>
  </hyperlinks>
  <printOptions horizontalCentered="1"/>
  <pageMargins left="0.25" right="0.25" top="0.75" bottom="0.75" header="0.3" footer="0.3"/>
  <pageSetup scale="72"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47"/>
  <sheetViews>
    <sheetView workbookViewId="0">
      <selection activeCell="A2" sqref="A2"/>
    </sheetView>
  </sheetViews>
  <sheetFormatPr defaultRowHeight="14.5" x14ac:dyDescent="0.35"/>
  <cols>
    <col min="1" max="1" width="49.26953125" bestFit="1" customWidth="1"/>
    <col min="2" max="3" width="10.6328125" customWidth="1"/>
  </cols>
  <sheetData>
    <row r="1" spans="1:4" ht="18.5" x14ac:dyDescent="0.45">
      <c r="A1" s="168" t="s">
        <v>183</v>
      </c>
      <c r="B1" s="168"/>
      <c r="C1" s="168"/>
      <c r="D1" s="169" t="s">
        <v>184</v>
      </c>
    </row>
    <row r="2" spans="1:4" x14ac:dyDescent="0.35">
      <c r="A2" s="167" t="s">
        <v>345</v>
      </c>
      <c r="B2" s="167"/>
      <c r="C2" s="167"/>
      <c r="D2" s="169" t="s">
        <v>185</v>
      </c>
    </row>
    <row r="3" spans="1:4" x14ac:dyDescent="0.35">
      <c r="A3" s="16" t="s">
        <v>21</v>
      </c>
      <c r="B3" s="16"/>
      <c r="C3" s="16"/>
    </row>
    <row r="4" spans="1:4" x14ac:dyDescent="0.35">
      <c r="A4" s="16" t="s">
        <v>357</v>
      </c>
      <c r="B4" s="16"/>
      <c r="C4" s="16"/>
    </row>
    <row r="5" spans="1:4" x14ac:dyDescent="0.35">
      <c r="A5" s="16" t="s">
        <v>0</v>
      </c>
      <c r="B5" s="16"/>
      <c r="C5" s="16"/>
    </row>
    <row r="6" spans="1:4" x14ac:dyDescent="0.35">
      <c r="A6" s="16" t="s">
        <v>1</v>
      </c>
      <c r="B6" s="16"/>
      <c r="C6" s="16"/>
    </row>
    <row r="7" spans="1:4" x14ac:dyDescent="0.35">
      <c r="A7" s="16" t="s">
        <v>2</v>
      </c>
      <c r="B7" s="16"/>
      <c r="C7" s="16"/>
    </row>
    <row r="8" spans="1:4" x14ac:dyDescent="0.35">
      <c r="A8" s="16" t="s">
        <v>26</v>
      </c>
      <c r="B8" s="16"/>
      <c r="C8" s="16"/>
    </row>
    <row r="9" spans="1:4" x14ac:dyDescent="0.35">
      <c r="A9" s="16" t="s">
        <v>306</v>
      </c>
      <c r="B9" s="16"/>
      <c r="C9" s="16"/>
    </row>
    <row r="10" spans="1:4" x14ac:dyDescent="0.35">
      <c r="A10" s="16" t="s">
        <v>3</v>
      </c>
      <c r="B10" s="16"/>
      <c r="C10" s="16"/>
    </row>
    <row r="11" spans="1:4" x14ac:dyDescent="0.35">
      <c r="A11" s="16" t="s">
        <v>22</v>
      </c>
      <c r="B11" s="16"/>
      <c r="C11" s="16"/>
    </row>
    <row r="12" spans="1:4" x14ac:dyDescent="0.35">
      <c r="A12" s="16" t="s">
        <v>23</v>
      </c>
      <c r="B12" s="16"/>
      <c r="C12" s="16"/>
    </row>
    <row r="13" spans="1:4" x14ac:dyDescent="0.35">
      <c r="A13" s="16" t="s">
        <v>4</v>
      </c>
      <c r="B13" s="16"/>
      <c r="C13" s="16"/>
    </row>
    <row r="14" spans="1:4" x14ac:dyDescent="0.35">
      <c r="A14" s="16" t="s">
        <v>6</v>
      </c>
      <c r="B14" s="16"/>
      <c r="C14" s="16"/>
    </row>
    <row r="15" spans="1:4" x14ac:dyDescent="0.35">
      <c r="A15" s="16" t="s">
        <v>5</v>
      </c>
      <c r="B15" s="16"/>
      <c r="C15" s="16"/>
    </row>
    <row r="16" spans="1:4" x14ac:dyDescent="0.35">
      <c r="A16" s="16" t="s">
        <v>24</v>
      </c>
      <c r="B16" s="16"/>
      <c r="C16" s="16"/>
    </row>
    <row r="17" spans="1:3" x14ac:dyDescent="0.35">
      <c r="A17" s="16" t="s">
        <v>7</v>
      </c>
      <c r="B17" s="16"/>
      <c r="C17" s="16"/>
    </row>
    <row r="18" spans="1:3" x14ac:dyDescent="0.35">
      <c r="A18" s="16" t="s">
        <v>8</v>
      </c>
      <c r="B18" s="16"/>
      <c r="C18" s="16"/>
    </row>
    <row r="19" spans="1:3" x14ac:dyDescent="0.35">
      <c r="A19" s="16" t="s">
        <v>19</v>
      </c>
      <c r="B19" s="16"/>
      <c r="C19" s="16"/>
    </row>
    <row r="20" spans="1:3" x14ac:dyDescent="0.35">
      <c r="A20" s="16" t="s">
        <v>20</v>
      </c>
      <c r="B20" s="16"/>
      <c r="C20" s="16"/>
    </row>
    <row r="21" spans="1:3" x14ac:dyDescent="0.35">
      <c r="A21" s="16" t="s">
        <v>27</v>
      </c>
      <c r="B21" s="16"/>
      <c r="C21" s="16"/>
    </row>
    <row r="22" spans="1:3" x14ac:dyDescent="0.35">
      <c r="A22" s="16" t="s">
        <v>9</v>
      </c>
      <c r="B22" s="16"/>
      <c r="C22" s="16"/>
    </row>
    <row r="23" spans="1:3" x14ac:dyDescent="0.35">
      <c r="A23" s="16" t="s">
        <v>342</v>
      </c>
      <c r="B23" s="16"/>
      <c r="C23" s="16"/>
    </row>
    <row r="24" spans="1:3" x14ac:dyDescent="0.35">
      <c r="A24" s="16" t="s">
        <v>178</v>
      </c>
      <c r="B24" s="16"/>
      <c r="C24" s="16"/>
    </row>
    <row r="25" spans="1:3" x14ac:dyDescent="0.35">
      <c r="A25" s="16" t="s">
        <v>10</v>
      </c>
      <c r="B25" s="16"/>
      <c r="C25" s="16"/>
    </row>
    <row r="26" spans="1:3" x14ac:dyDescent="0.35">
      <c r="A26" s="16" t="s">
        <v>11</v>
      </c>
      <c r="B26" s="16"/>
      <c r="C26" s="16"/>
    </row>
    <row r="27" spans="1:3" x14ac:dyDescent="0.35">
      <c r="A27" s="16" t="s">
        <v>12</v>
      </c>
      <c r="B27" s="16"/>
      <c r="C27" s="16"/>
    </row>
    <row r="28" spans="1:3" x14ac:dyDescent="0.35">
      <c r="A28" s="16" t="s">
        <v>13</v>
      </c>
      <c r="B28" s="16"/>
      <c r="C28" s="16"/>
    </row>
    <row r="29" spans="1:3" x14ac:dyDescent="0.35">
      <c r="A29" s="16" t="s">
        <v>343</v>
      </c>
      <c r="B29" s="16"/>
      <c r="C29" s="16"/>
    </row>
    <row r="30" spans="1:3" x14ac:dyDescent="0.35">
      <c r="A30" s="16" t="s">
        <v>14</v>
      </c>
      <c r="B30" s="16"/>
      <c r="C30" s="16"/>
    </row>
    <row r="31" spans="1:3" x14ac:dyDescent="0.35">
      <c r="A31" s="16" t="s">
        <v>15</v>
      </c>
      <c r="B31" s="16"/>
      <c r="C31" s="16"/>
    </row>
    <row r="32" spans="1:3" x14ac:dyDescent="0.35">
      <c r="A32" s="16" t="s">
        <v>16</v>
      </c>
      <c r="B32" s="16"/>
      <c r="C32" s="16"/>
    </row>
    <row r="33" spans="1:3" x14ac:dyDescent="0.35">
      <c r="A33" s="16" t="s">
        <v>344</v>
      </c>
      <c r="B33" s="16"/>
      <c r="C33" s="16"/>
    </row>
    <row r="34" spans="1:3" x14ac:dyDescent="0.35">
      <c r="A34" s="16" t="s">
        <v>17</v>
      </c>
      <c r="B34" s="16"/>
      <c r="C34" s="16"/>
    </row>
    <row r="35" spans="1:3" x14ac:dyDescent="0.35">
      <c r="A35" s="16" t="s">
        <v>358</v>
      </c>
      <c r="B35" s="16"/>
      <c r="C35" s="16"/>
    </row>
    <row r="36" spans="1:3" x14ac:dyDescent="0.35">
      <c r="A36" s="16" t="s">
        <v>25</v>
      </c>
      <c r="B36" s="16"/>
      <c r="C36" s="16"/>
    </row>
    <row r="37" spans="1:3" x14ac:dyDescent="0.35">
      <c r="A37" s="16" t="s">
        <v>18</v>
      </c>
      <c r="B37" s="16"/>
      <c r="C37" s="16"/>
    </row>
    <row r="38" spans="1:3" x14ac:dyDescent="0.35">
      <c r="A38" s="16" t="s">
        <v>353</v>
      </c>
      <c r="B38" s="16"/>
      <c r="C38" s="16"/>
    </row>
    <row r="39" spans="1:3" x14ac:dyDescent="0.35">
      <c r="A39" s="16" t="s">
        <v>354</v>
      </c>
      <c r="B39" s="16"/>
      <c r="C39" s="16"/>
    </row>
    <row r="40" spans="1:3" x14ac:dyDescent="0.35">
      <c r="A40" s="16" t="s">
        <v>409</v>
      </c>
      <c r="B40" s="16"/>
      <c r="C40" s="16"/>
    </row>
    <row r="41" spans="1:3" x14ac:dyDescent="0.35">
      <c r="A41" s="16" t="s">
        <v>28</v>
      </c>
      <c r="B41" s="16"/>
      <c r="C41" s="16"/>
    </row>
    <row r="42" spans="1:3" x14ac:dyDescent="0.35">
      <c r="A42" s="16" t="s">
        <v>29</v>
      </c>
      <c r="B42" s="16"/>
      <c r="C42" s="16"/>
    </row>
    <row r="43" spans="1:3" x14ac:dyDescent="0.35">
      <c r="A43" s="16" t="s">
        <v>359</v>
      </c>
      <c r="B43" s="16"/>
      <c r="C43" s="16"/>
    </row>
    <row r="44" spans="1:3" x14ac:dyDescent="0.35">
      <c r="A44" s="16" t="s">
        <v>30</v>
      </c>
      <c r="B44" s="16"/>
      <c r="C44" s="16"/>
    </row>
    <row r="45" spans="1:3" x14ac:dyDescent="0.35">
      <c r="A45" s="16" t="s">
        <v>31</v>
      </c>
      <c r="B45" s="16"/>
      <c r="C45" s="16"/>
    </row>
    <row r="46" spans="1:3" x14ac:dyDescent="0.35">
      <c r="A46" s="16" t="s">
        <v>32</v>
      </c>
      <c r="B46" s="16"/>
      <c r="C46" s="16"/>
    </row>
    <row r="47" spans="1:3" x14ac:dyDescent="0.35">
      <c r="A47" s="16" t="s">
        <v>33</v>
      </c>
      <c r="B47" s="16"/>
      <c r="C47" s="16"/>
    </row>
  </sheetData>
  <pageMargins left="0.7" right="0.7" top="0.75" bottom="0.75" header="0.3" footer="0.3"/>
  <pageSetup orientation="portrait" r:id="rId1"/>
  <customProperties>
    <customPr name="EpmWorksheetKeyString_GUID" r:id="rId2"/>
  </customProperties>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AQ54"/>
  <sheetViews>
    <sheetView workbookViewId="0">
      <pane xSplit="1" ySplit="5" topLeftCell="AH40" activePane="bottomRight" state="frozen"/>
      <selection activeCell="D5" sqref="D5:E5"/>
      <selection pane="topRight" activeCell="D5" sqref="D5:E5"/>
      <selection pane="bottomLeft" activeCell="D5" sqref="D5:E5"/>
      <selection pane="bottomRight" activeCell="D5" sqref="D5:E5"/>
    </sheetView>
  </sheetViews>
  <sheetFormatPr defaultRowHeight="14.5" x14ac:dyDescent="0.35"/>
  <cols>
    <col min="1" max="1" width="49.26953125" bestFit="1" customWidth="1"/>
    <col min="8" max="8" width="1.7265625" customWidth="1"/>
    <col min="15" max="15" width="1.7265625" customWidth="1"/>
    <col min="22" max="22" width="1.7265625" customWidth="1"/>
    <col min="29" max="29" width="1.7265625" customWidth="1"/>
    <col min="37" max="37" width="36.81640625" customWidth="1"/>
    <col min="41" max="41" width="9.1796875" style="217"/>
    <col min="43" max="43" width="8.7265625" style="217"/>
  </cols>
  <sheetData>
    <row r="1" spans="1:43" x14ac:dyDescent="0.35">
      <c r="A1" s="29">
        <v>1</v>
      </c>
      <c r="B1" s="29">
        <v>2</v>
      </c>
      <c r="C1" s="29">
        <v>3</v>
      </c>
      <c r="D1" s="29">
        <v>4</v>
      </c>
      <c r="E1" s="29">
        <v>5</v>
      </c>
      <c r="F1" s="29">
        <v>6</v>
      </c>
      <c r="G1" s="29">
        <v>7</v>
      </c>
      <c r="H1" s="29">
        <v>8</v>
      </c>
      <c r="I1" s="29">
        <v>9</v>
      </c>
      <c r="J1" s="29">
        <v>10</v>
      </c>
      <c r="K1" s="29">
        <v>11</v>
      </c>
      <c r="L1" s="29">
        <v>12</v>
      </c>
      <c r="M1" s="29">
        <v>13</v>
      </c>
      <c r="N1" s="29">
        <v>14</v>
      </c>
      <c r="O1" s="29">
        <v>15</v>
      </c>
      <c r="P1" s="29">
        <v>16</v>
      </c>
      <c r="Q1" s="29">
        <v>17</v>
      </c>
      <c r="R1" s="29">
        <v>18</v>
      </c>
      <c r="S1" s="29">
        <v>19</v>
      </c>
      <c r="T1" s="29">
        <v>20</v>
      </c>
      <c r="U1" s="29">
        <v>21</v>
      </c>
      <c r="V1" s="29">
        <v>22</v>
      </c>
      <c r="W1" s="29">
        <v>23</v>
      </c>
      <c r="X1" s="29">
        <v>24</v>
      </c>
      <c r="Y1" s="29">
        <v>25</v>
      </c>
      <c r="Z1" s="29">
        <v>26</v>
      </c>
      <c r="AA1" s="29">
        <v>27</v>
      </c>
      <c r="AB1" s="29">
        <v>28</v>
      </c>
      <c r="AC1" s="29">
        <v>29</v>
      </c>
      <c r="AD1" s="29">
        <v>30</v>
      </c>
      <c r="AE1" s="29">
        <v>31</v>
      </c>
      <c r="AF1" s="29">
        <v>32</v>
      </c>
      <c r="AG1" s="29">
        <v>33</v>
      </c>
      <c r="AH1" s="29">
        <v>34</v>
      </c>
      <c r="AI1" s="29">
        <v>35</v>
      </c>
    </row>
    <row r="2" spans="1:43" x14ac:dyDescent="0.35">
      <c r="B2" s="75"/>
      <c r="C2" s="30"/>
      <c r="D2" s="30"/>
      <c r="E2" s="30"/>
      <c r="F2" s="30"/>
      <c r="G2" s="30"/>
      <c r="H2" s="92"/>
      <c r="I2" s="75"/>
      <c r="J2" s="30"/>
      <c r="K2" s="30"/>
      <c r="L2" s="30"/>
      <c r="M2" s="30"/>
      <c r="N2" s="30"/>
      <c r="O2" s="92"/>
      <c r="P2" s="75"/>
      <c r="Q2" s="30"/>
      <c r="R2" s="30"/>
      <c r="S2" s="30"/>
      <c r="T2" s="30"/>
      <c r="U2" s="30"/>
      <c r="V2" s="92"/>
      <c r="W2" s="75"/>
      <c r="X2" s="30"/>
      <c r="Y2" s="30"/>
      <c r="Z2" s="30"/>
      <c r="AA2" s="30"/>
      <c r="AB2" s="30"/>
      <c r="AC2" s="92"/>
      <c r="AD2" s="30"/>
      <c r="AE2" s="30"/>
      <c r="AF2" s="30"/>
      <c r="AG2" s="30"/>
      <c r="AH2" s="30"/>
      <c r="AI2" s="30"/>
    </row>
    <row r="3" spans="1:43" x14ac:dyDescent="0.35">
      <c r="B3" s="91" t="s">
        <v>116</v>
      </c>
      <c r="C3" s="91" t="s">
        <v>117</v>
      </c>
      <c r="D3" s="418" t="s">
        <v>118</v>
      </c>
      <c r="E3" s="418"/>
      <c r="F3" s="418" t="s">
        <v>119</v>
      </c>
      <c r="G3" s="418"/>
      <c r="H3" s="294"/>
      <c r="I3" s="91" t="s">
        <v>116</v>
      </c>
      <c r="J3" s="91" t="s">
        <v>117</v>
      </c>
      <c r="K3" s="418" t="s">
        <v>118</v>
      </c>
      <c r="L3" s="418"/>
      <c r="M3" s="418" t="s">
        <v>119</v>
      </c>
      <c r="N3" s="418"/>
      <c r="O3" s="294"/>
      <c r="P3" s="91" t="s">
        <v>116</v>
      </c>
      <c r="Q3" s="91" t="s">
        <v>117</v>
      </c>
      <c r="R3" s="418" t="s">
        <v>118</v>
      </c>
      <c r="S3" s="418"/>
      <c r="T3" s="418" t="s">
        <v>119</v>
      </c>
      <c r="U3" s="418"/>
      <c r="V3" s="294"/>
      <c r="W3" s="91" t="s">
        <v>116</v>
      </c>
      <c r="X3" s="91" t="s">
        <v>117</v>
      </c>
      <c r="Y3" s="418" t="s">
        <v>118</v>
      </c>
      <c r="Z3" s="418"/>
      <c r="AA3" s="418" t="s">
        <v>119</v>
      </c>
      <c r="AB3" s="418"/>
      <c r="AC3" s="294"/>
      <c r="AD3" s="91" t="s">
        <v>116</v>
      </c>
      <c r="AE3" s="91" t="s">
        <v>117</v>
      </c>
      <c r="AF3" s="418" t="s">
        <v>118</v>
      </c>
      <c r="AG3" s="418"/>
      <c r="AH3" s="418" t="s">
        <v>119</v>
      </c>
      <c r="AI3" s="418"/>
    </row>
    <row r="4" spans="1:43" x14ac:dyDescent="0.35">
      <c r="B4" s="71">
        <v>2017</v>
      </c>
      <c r="C4" s="15">
        <v>2017</v>
      </c>
      <c r="D4" s="15">
        <v>2017</v>
      </c>
      <c r="E4" s="15">
        <v>2017</v>
      </c>
      <c r="F4" s="15">
        <v>2017</v>
      </c>
      <c r="G4" s="15">
        <v>2017</v>
      </c>
      <c r="H4" s="15"/>
      <c r="I4" s="71">
        <v>2018</v>
      </c>
      <c r="J4" s="15">
        <v>2018</v>
      </c>
      <c r="K4" s="15">
        <v>2018</v>
      </c>
      <c r="L4" s="15">
        <v>2018</v>
      </c>
      <c r="M4" s="15">
        <v>2018</v>
      </c>
      <c r="N4" s="15">
        <v>2018</v>
      </c>
      <c r="O4" s="15"/>
      <c r="P4" s="71">
        <v>2019</v>
      </c>
      <c r="Q4" s="15">
        <v>2019</v>
      </c>
      <c r="R4" s="15">
        <v>2019</v>
      </c>
      <c r="S4" s="15">
        <v>2019</v>
      </c>
      <c r="T4" s="15">
        <v>2019</v>
      </c>
      <c r="U4" s="15">
        <v>2019</v>
      </c>
      <c r="V4" s="15"/>
      <c r="W4" s="71">
        <v>2020</v>
      </c>
      <c r="X4" s="15">
        <v>2020</v>
      </c>
      <c r="Y4" s="15">
        <v>2020</v>
      </c>
      <c r="Z4" s="15">
        <v>2020</v>
      </c>
      <c r="AA4" s="15">
        <v>2020</v>
      </c>
      <c r="AB4" s="15">
        <v>2020</v>
      </c>
      <c r="AC4" s="15"/>
      <c r="AD4" s="15">
        <v>2021</v>
      </c>
      <c r="AE4" s="15">
        <v>2021</v>
      </c>
      <c r="AF4" s="15">
        <v>2021</v>
      </c>
      <c r="AG4" s="15">
        <v>2021</v>
      </c>
      <c r="AH4" s="15">
        <v>2021</v>
      </c>
      <c r="AI4" s="15">
        <v>2021</v>
      </c>
    </row>
    <row r="5" spans="1:43" ht="72.5" x14ac:dyDescent="0.35">
      <c r="A5" s="39" t="s">
        <v>36</v>
      </c>
      <c r="B5" s="72" t="s">
        <v>39</v>
      </c>
      <c r="C5" s="40" t="s">
        <v>39</v>
      </c>
      <c r="D5" s="40" t="s">
        <v>39</v>
      </c>
      <c r="E5" s="40" t="s">
        <v>43</v>
      </c>
      <c r="F5" s="40"/>
      <c r="G5" s="40"/>
      <c r="H5" s="40"/>
      <c r="I5" s="72" t="s">
        <v>39</v>
      </c>
      <c r="J5" s="40" t="s">
        <v>39</v>
      </c>
      <c r="K5" s="40" t="s">
        <v>39</v>
      </c>
      <c r="L5" s="40" t="s">
        <v>43</v>
      </c>
      <c r="M5" s="40" t="s">
        <v>39</v>
      </c>
      <c r="N5" s="40" t="s">
        <v>43</v>
      </c>
      <c r="O5" s="40"/>
      <c r="P5" s="72" t="s">
        <v>39</v>
      </c>
      <c r="Q5" s="40" t="s">
        <v>39</v>
      </c>
      <c r="R5" s="40" t="s">
        <v>39</v>
      </c>
      <c r="S5" s="40" t="s">
        <v>43</v>
      </c>
      <c r="T5" s="40" t="s">
        <v>39</v>
      </c>
      <c r="U5" s="40" t="s">
        <v>43</v>
      </c>
      <c r="V5" s="40"/>
      <c r="W5" s="72" t="s">
        <v>39</v>
      </c>
      <c r="X5" s="40" t="s">
        <v>39</v>
      </c>
      <c r="Y5" s="40" t="s">
        <v>39</v>
      </c>
      <c r="Z5" s="40" t="s">
        <v>43</v>
      </c>
      <c r="AA5" s="40" t="s">
        <v>39</v>
      </c>
      <c r="AB5" s="40" t="s">
        <v>43</v>
      </c>
      <c r="AC5" s="40"/>
      <c r="AD5" s="40" t="s">
        <v>39</v>
      </c>
      <c r="AE5" s="40" t="s">
        <v>39</v>
      </c>
      <c r="AF5" s="40" t="s">
        <v>39</v>
      </c>
      <c r="AG5" s="40" t="s">
        <v>43</v>
      </c>
      <c r="AH5" s="40" t="s">
        <v>39</v>
      </c>
      <c r="AI5" s="40" t="s">
        <v>43</v>
      </c>
      <c r="AK5" s="15" t="s">
        <v>36</v>
      </c>
      <c r="AL5" s="41" t="s">
        <v>370</v>
      </c>
      <c r="AM5" s="41" t="s">
        <v>371</v>
      </c>
      <c r="AN5" s="41" t="s">
        <v>372</v>
      </c>
      <c r="AO5" s="318" t="s">
        <v>356</v>
      </c>
      <c r="AP5" s="41" t="s">
        <v>373</v>
      </c>
      <c r="AQ5" s="318" t="s">
        <v>374</v>
      </c>
    </row>
    <row r="6" spans="1:43" x14ac:dyDescent="0.35">
      <c r="A6" s="16" t="s">
        <v>345</v>
      </c>
      <c r="B6" s="13">
        <v>51</v>
      </c>
      <c r="C6" s="13">
        <v>44</v>
      </c>
      <c r="D6" s="13">
        <v>3</v>
      </c>
      <c r="E6" s="26">
        <v>6.8181818181818177E-2</v>
      </c>
      <c r="F6" s="13">
        <v>1</v>
      </c>
      <c r="G6" s="26">
        <v>2.2727272727272728E-2</v>
      </c>
      <c r="H6" s="13"/>
      <c r="I6" s="13">
        <v>56</v>
      </c>
      <c r="J6" s="13">
        <v>48</v>
      </c>
      <c r="K6" s="13">
        <v>0</v>
      </c>
      <c r="L6" s="26">
        <v>0</v>
      </c>
      <c r="M6" s="13">
        <v>0</v>
      </c>
      <c r="N6" s="26">
        <v>0</v>
      </c>
      <c r="O6" s="13"/>
      <c r="P6" s="13">
        <v>55</v>
      </c>
      <c r="Q6" s="13">
        <v>48</v>
      </c>
      <c r="R6" s="13">
        <v>2</v>
      </c>
      <c r="S6" s="26">
        <v>4.1666666666666664E-2</v>
      </c>
      <c r="T6" s="13"/>
      <c r="U6" s="26">
        <v>0</v>
      </c>
      <c r="V6" s="13"/>
      <c r="W6" s="13">
        <v>53</v>
      </c>
      <c r="X6" s="13">
        <v>51</v>
      </c>
      <c r="Y6" s="13"/>
      <c r="Z6" s="26">
        <v>0</v>
      </c>
      <c r="AA6" s="13"/>
      <c r="AB6" s="26">
        <v>0</v>
      </c>
      <c r="AC6" s="13"/>
      <c r="AD6" s="276">
        <v>45</v>
      </c>
      <c r="AE6" s="276">
        <v>42</v>
      </c>
      <c r="AF6" s="276">
        <v>4</v>
      </c>
      <c r="AG6" s="82">
        <f t="shared" ref="AG6:AG51" si="0">AF6/AE6</f>
        <v>9.5238095238095233E-2</v>
      </c>
      <c r="AH6" s="276">
        <v>3</v>
      </c>
      <c r="AI6" s="82">
        <f t="shared" ref="AI6:AI51" si="1">AH6/AE6</f>
        <v>7.1428571428571425E-2</v>
      </c>
      <c r="AJ6" s="155" t="str">
        <f t="shared" ref="AJ6:AJ51" si="2">IF(AK6=A6,"OK","No")</f>
        <v>OK</v>
      </c>
      <c r="AK6" t="s">
        <v>345</v>
      </c>
      <c r="AL6">
        <v>45</v>
      </c>
      <c r="AM6">
        <v>42</v>
      </c>
      <c r="AN6">
        <v>4</v>
      </c>
      <c r="AO6" s="217">
        <v>9.5238095238095233E-2</v>
      </c>
      <c r="AP6">
        <v>3</v>
      </c>
      <c r="AQ6" s="217">
        <v>7.1428571428571425E-2</v>
      </c>
    </row>
    <row r="7" spans="1:43" x14ac:dyDescent="0.35">
      <c r="A7" s="16" t="s">
        <v>21</v>
      </c>
      <c r="B7" s="13">
        <v>160</v>
      </c>
      <c r="C7" s="13">
        <v>147</v>
      </c>
      <c r="D7" s="13">
        <v>15</v>
      </c>
      <c r="E7" s="26">
        <v>0.10204081632653061</v>
      </c>
      <c r="F7" s="13">
        <v>2</v>
      </c>
      <c r="G7" s="26">
        <v>1.3605442176870748E-2</v>
      </c>
      <c r="H7" s="13"/>
      <c r="I7" s="13">
        <v>177</v>
      </c>
      <c r="J7" s="13">
        <v>150</v>
      </c>
      <c r="K7" s="13">
        <v>9</v>
      </c>
      <c r="L7" s="26">
        <v>0.06</v>
      </c>
      <c r="M7" s="13">
        <v>1</v>
      </c>
      <c r="N7" s="26">
        <v>6.6666666666666671E-3</v>
      </c>
      <c r="O7" s="13"/>
      <c r="P7" s="13">
        <v>180</v>
      </c>
      <c r="Q7" s="13">
        <v>168</v>
      </c>
      <c r="R7" s="13">
        <v>7</v>
      </c>
      <c r="S7" s="26">
        <v>4.1666666666666664E-2</v>
      </c>
      <c r="T7" s="13">
        <v>2</v>
      </c>
      <c r="U7" s="26">
        <v>1.1904761904761904E-2</v>
      </c>
      <c r="V7" s="13"/>
      <c r="W7" s="13">
        <v>179</v>
      </c>
      <c r="X7" s="13">
        <v>175</v>
      </c>
      <c r="Y7" s="13"/>
      <c r="Z7" s="26">
        <v>0</v>
      </c>
      <c r="AA7" s="13">
        <v>4</v>
      </c>
      <c r="AB7" s="26">
        <v>2.2857142857142857E-2</v>
      </c>
      <c r="AC7" s="13"/>
      <c r="AD7" s="276">
        <v>154</v>
      </c>
      <c r="AE7" s="276">
        <v>147</v>
      </c>
      <c r="AF7" s="276">
        <v>6</v>
      </c>
      <c r="AG7" s="82">
        <f t="shared" si="0"/>
        <v>4.0816326530612242E-2</v>
      </c>
      <c r="AH7" s="276">
        <v>13</v>
      </c>
      <c r="AI7" s="82">
        <f t="shared" si="1"/>
        <v>8.8435374149659865E-2</v>
      </c>
      <c r="AJ7" s="155" t="str">
        <f t="shared" si="2"/>
        <v>OK</v>
      </c>
      <c r="AK7" t="s">
        <v>21</v>
      </c>
      <c r="AL7">
        <v>154</v>
      </c>
      <c r="AM7">
        <v>147</v>
      </c>
      <c r="AN7">
        <v>6</v>
      </c>
      <c r="AO7" s="217">
        <v>4.0816326530612242E-2</v>
      </c>
      <c r="AP7">
        <v>13</v>
      </c>
      <c r="AQ7" s="217">
        <v>8.8435374149659865E-2</v>
      </c>
    </row>
    <row r="8" spans="1:43" x14ac:dyDescent="0.35">
      <c r="A8" s="16" t="s">
        <v>357</v>
      </c>
      <c r="B8" s="13">
        <v>2</v>
      </c>
      <c r="C8" s="13">
        <v>2</v>
      </c>
      <c r="D8" s="13">
        <v>0</v>
      </c>
      <c r="E8" s="26">
        <v>0</v>
      </c>
      <c r="F8" s="13">
        <v>0</v>
      </c>
      <c r="G8" s="26">
        <v>0</v>
      </c>
      <c r="H8" s="13"/>
      <c r="I8" s="13">
        <v>2</v>
      </c>
      <c r="J8" s="13">
        <v>2</v>
      </c>
      <c r="K8" s="13">
        <v>0</v>
      </c>
      <c r="L8" s="26">
        <v>0</v>
      </c>
      <c r="M8" s="13">
        <v>0</v>
      </c>
      <c r="N8" s="26">
        <v>0</v>
      </c>
      <c r="O8" s="13"/>
      <c r="P8" s="13">
        <v>2</v>
      </c>
      <c r="Q8" s="13">
        <v>2</v>
      </c>
      <c r="R8" s="13"/>
      <c r="S8" s="26">
        <v>0</v>
      </c>
      <c r="T8" s="13">
        <v>1</v>
      </c>
      <c r="U8" s="26">
        <v>0.5</v>
      </c>
      <c r="V8" s="13"/>
      <c r="W8" s="13">
        <v>2</v>
      </c>
      <c r="X8" s="13">
        <v>2</v>
      </c>
      <c r="Y8" s="13"/>
      <c r="Z8" s="26">
        <v>0</v>
      </c>
      <c r="AA8" s="13">
        <v>1</v>
      </c>
      <c r="AB8" s="26">
        <v>0.5</v>
      </c>
      <c r="AC8" s="13"/>
      <c r="AD8" s="276">
        <v>1</v>
      </c>
      <c r="AE8" s="276">
        <v>1</v>
      </c>
      <c r="AF8" s="276"/>
      <c r="AG8" s="82">
        <f t="shared" si="0"/>
        <v>0</v>
      </c>
      <c r="AH8" s="276"/>
      <c r="AI8" s="82">
        <f t="shared" si="1"/>
        <v>0</v>
      </c>
      <c r="AJ8" s="155" t="str">
        <f t="shared" si="2"/>
        <v>OK</v>
      </c>
      <c r="AK8" t="s">
        <v>357</v>
      </c>
      <c r="AL8">
        <v>1</v>
      </c>
      <c r="AM8">
        <v>1</v>
      </c>
      <c r="AO8" s="217">
        <v>0</v>
      </c>
      <c r="AQ8" s="217">
        <v>0</v>
      </c>
    </row>
    <row r="9" spans="1:43" x14ac:dyDescent="0.35">
      <c r="A9" s="16" t="s">
        <v>0</v>
      </c>
      <c r="B9" s="13">
        <v>369</v>
      </c>
      <c r="C9" s="13">
        <v>341</v>
      </c>
      <c r="D9" s="13">
        <v>19</v>
      </c>
      <c r="E9" s="26">
        <v>5.5718475073313782E-2</v>
      </c>
      <c r="F9" s="13">
        <v>7</v>
      </c>
      <c r="G9" s="26">
        <v>2.0527859237536656E-2</v>
      </c>
      <c r="H9" s="13"/>
      <c r="I9" s="13">
        <v>358</v>
      </c>
      <c r="J9" s="13">
        <v>332</v>
      </c>
      <c r="K9" s="13">
        <v>16</v>
      </c>
      <c r="L9" s="26">
        <v>4.8192771084337352E-2</v>
      </c>
      <c r="M9" s="13">
        <v>1</v>
      </c>
      <c r="N9" s="26">
        <v>3.0120481927710845E-3</v>
      </c>
      <c r="O9" s="13"/>
      <c r="P9" s="13">
        <v>407</v>
      </c>
      <c r="Q9" s="13">
        <v>381</v>
      </c>
      <c r="R9" s="13">
        <v>18</v>
      </c>
      <c r="S9" s="26">
        <v>4.7244094488188976E-2</v>
      </c>
      <c r="T9" s="13">
        <v>6</v>
      </c>
      <c r="U9" s="26">
        <v>1.5748031496062992E-2</v>
      </c>
      <c r="V9" s="13"/>
      <c r="W9" s="13">
        <v>407</v>
      </c>
      <c r="X9" s="13">
        <v>388</v>
      </c>
      <c r="Y9" s="13">
        <v>3</v>
      </c>
      <c r="Z9" s="26">
        <v>7.7319587628865982E-3</v>
      </c>
      <c r="AA9" s="13">
        <v>10</v>
      </c>
      <c r="AB9" s="26">
        <v>2.5773195876288658E-2</v>
      </c>
      <c r="AC9" s="13"/>
      <c r="AD9" s="276">
        <v>379</v>
      </c>
      <c r="AE9" s="276">
        <v>369</v>
      </c>
      <c r="AF9" s="276">
        <v>9</v>
      </c>
      <c r="AG9" s="82">
        <f t="shared" si="0"/>
        <v>2.4390243902439025E-2</v>
      </c>
      <c r="AH9" s="276">
        <v>54</v>
      </c>
      <c r="AI9" s="82">
        <f t="shared" si="1"/>
        <v>0.14634146341463414</v>
      </c>
      <c r="AJ9" s="155" t="str">
        <f t="shared" si="2"/>
        <v>OK</v>
      </c>
      <c r="AK9" t="s">
        <v>0</v>
      </c>
      <c r="AL9">
        <v>379</v>
      </c>
      <c r="AM9">
        <v>369</v>
      </c>
      <c r="AN9">
        <v>9</v>
      </c>
      <c r="AO9" s="217">
        <v>2.4390243902439025E-2</v>
      </c>
      <c r="AP9">
        <v>54</v>
      </c>
      <c r="AQ9" s="217">
        <v>0.14634146341463414</v>
      </c>
    </row>
    <row r="10" spans="1:43" x14ac:dyDescent="0.35">
      <c r="A10" s="16" t="s">
        <v>1</v>
      </c>
      <c r="B10" s="13">
        <v>465</v>
      </c>
      <c r="C10" s="13">
        <v>418</v>
      </c>
      <c r="D10" s="13">
        <v>24</v>
      </c>
      <c r="E10" s="26">
        <v>5.7416267942583733E-2</v>
      </c>
      <c r="F10" s="13">
        <v>9</v>
      </c>
      <c r="G10" s="26">
        <v>2.1531100478468901E-2</v>
      </c>
      <c r="H10" s="13"/>
      <c r="I10" s="13">
        <v>458</v>
      </c>
      <c r="J10" s="13">
        <v>428</v>
      </c>
      <c r="K10" s="13">
        <v>19</v>
      </c>
      <c r="L10" s="26">
        <v>4.4392523364485979E-2</v>
      </c>
      <c r="M10" s="13">
        <v>4</v>
      </c>
      <c r="N10" s="26">
        <v>9.3457943925233638E-3</v>
      </c>
      <c r="O10" s="13"/>
      <c r="P10" s="13">
        <v>472</v>
      </c>
      <c r="Q10" s="13">
        <v>432</v>
      </c>
      <c r="R10" s="13">
        <v>17</v>
      </c>
      <c r="S10" s="26">
        <v>3.9351851851851853E-2</v>
      </c>
      <c r="T10" s="13">
        <v>7</v>
      </c>
      <c r="U10" s="26">
        <v>1.6203703703703703E-2</v>
      </c>
      <c r="V10" s="13"/>
      <c r="W10" s="13">
        <v>481</v>
      </c>
      <c r="X10" s="13">
        <v>451</v>
      </c>
      <c r="Y10" s="13">
        <v>5</v>
      </c>
      <c r="Z10" s="26">
        <v>1.1086474501108648E-2</v>
      </c>
      <c r="AA10" s="13">
        <v>8</v>
      </c>
      <c r="AB10" s="26">
        <v>1.7738359201773836E-2</v>
      </c>
      <c r="AC10" s="13"/>
      <c r="AD10" s="276">
        <v>397</v>
      </c>
      <c r="AE10" s="276">
        <v>376</v>
      </c>
      <c r="AF10" s="276">
        <v>13</v>
      </c>
      <c r="AG10" s="82">
        <f t="shared" si="0"/>
        <v>3.4574468085106384E-2</v>
      </c>
      <c r="AH10" s="276">
        <v>62</v>
      </c>
      <c r="AI10" s="82">
        <f t="shared" si="1"/>
        <v>0.16489361702127658</v>
      </c>
      <c r="AJ10" s="155" t="str">
        <f t="shared" si="2"/>
        <v>OK</v>
      </c>
      <c r="AK10" t="s">
        <v>1</v>
      </c>
      <c r="AL10">
        <v>397</v>
      </c>
      <c r="AM10">
        <v>376</v>
      </c>
      <c r="AN10">
        <v>13</v>
      </c>
      <c r="AO10" s="217">
        <v>3.4574468085106384E-2</v>
      </c>
      <c r="AP10">
        <v>62</v>
      </c>
      <c r="AQ10" s="217">
        <v>0.16489361702127658</v>
      </c>
    </row>
    <row r="11" spans="1:43" x14ac:dyDescent="0.35">
      <c r="A11" s="16" t="s">
        <v>2</v>
      </c>
      <c r="B11" s="13">
        <v>21</v>
      </c>
      <c r="C11" s="13">
        <v>20</v>
      </c>
      <c r="D11" s="13">
        <v>1</v>
      </c>
      <c r="E11" s="26">
        <v>0.05</v>
      </c>
      <c r="F11" s="13">
        <v>0</v>
      </c>
      <c r="G11" s="26">
        <v>0</v>
      </c>
      <c r="H11" s="13"/>
      <c r="I11" s="13">
        <v>20</v>
      </c>
      <c r="J11" s="13">
        <v>20</v>
      </c>
      <c r="K11" s="13">
        <v>0</v>
      </c>
      <c r="L11" s="26">
        <v>0</v>
      </c>
      <c r="M11" s="13">
        <v>0</v>
      </c>
      <c r="N11" s="26">
        <v>0</v>
      </c>
      <c r="O11" s="13"/>
      <c r="P11" s="13">
        <v>21</v>
      </c>
      <c r="Q11" s="13">
        <v>19</v>
      </c>
      <c r="R11" s="13"/>
      <c r="S11" s="26">
        <v>0</v>
      </c>
      <c r="T11" s="13"/>
      <c r="U11" s="26">
        <v>0</v>
      </c>
      <c r="V11" s="13"/>
      <c r="W11" s="13">
        <v>20</v>
      </c>
      <c r="X11" s="13">
        <v>19</v>
      </c>
      <c r="Y11" s="13">
        <v>1</v>
      </c>
      <c r="Z11" s="26">
        <v>5.2631578947368418E-2</v>
      </c>
      <c r="AA11" s="13"/>
      <c r="AB11" s="26">
        <v>0</v>
      </c>
      <c r="AC11" s="13"/>
      <c r="AD11" s="276">
        <v>21</v>
      </c>
      <c r="AE11" s="276">
        <v>20</v>
      </c>
      <c r="AF11" s="276"/>
      <c r="AG11" s="82">
        <f t="shared" si="0"/>
        <v>0</v>
      </c>
      <c r="AH11" s="276">
        <v>1</v>
      </c>
      <c r="AI11" s="82">
        <f t="shared" si="1"/>
        <v>0.05</v>
      </c>
      <c r="AJ11" s="155" t="str">
        <f t="shared" si="2"/>
        <v>OK</v>
      </c>
      <c r="AK11" t="s">
        <v>2</v>
      </c>
      <c r="AL11">
        <v>21</v>
      </c>
      <c r="AM11">
        <v>20</v>
      </c>
      <c r="AO11" s="217">
        <v>0</v>
      </c>
      <c r="AP11">
        <v>1</v>
      </c>
      <c r="AQ11" s="217">
        <v>0.05</v>
      </c>
    </row>
    <row r="12" spans="1:43" x14ac:dyDescent="0.35">
      <c r="A12" s="16" t="s">
        <v>26</v>
      </c>
      <c r="B12" s="13">
        <v>16</v>
      </c>
      <c r="C12" s="13">
        <v>16</v>
      </c>
      <c r="D12" s="13">
        <v>2</v>
      </c>
      <c r="E12" s="26">
        <v>0.125</v>
      </c>
      <c r="F12" s="13">
        <v>0</v>
      </c>
      <c r="G12" s="26">
        <v>0</v>
      </c>
      <c r="H12" s="13"/>
      <c r="I12" s="13">
        <v>16</v>
      </c>
      <c r="J12" s="13">
        <v>16</v>
      </c>
      <c r="K12" s="13">
        <v>1</v>
      </c>
      <c r="L12" s="26">
        <v>6.25E-2</v>
      </c>
      <c r="M12" s="13">
        <v>1</v>
      </c>
      <c r="N12" s="26">
        <v>6.25E-2</v>
      </c>
      <c r="O12" s="13"/>
      <c r="P12" s="13">
        <v>16</v>
      </c>
      <c r="Q12" s="13">
        <v>14</v>
      </c>
      <c r="R12" s="13"/>
      <c r="S12" s="26">
        <v>0</v>
      </c>
      <c r="T12" s="13"/>
      <c r="U12" s="26">
        <v>0</v>
      </c>
      <c r="V12" s="13"/>
      <c r="W12" s="13">
        <v>17</v>
      </c>
      <c r="X12" s="13">
        <v>16</v>
      </c>
      <c r="Y12" s="13"/>
      <c r="Z12" s="26">
        <v>0</v>
      </c>
      <c r="AA12" s="13"/>
      <c r="AB12" s="26">
        <v>0</v>
      </c>
      <c r="AC12" s="13"/>
      <c r="AD12" s="276">
        <v>17</v>
      </c>
      <c r="AE12" s="276">
        <v>17</v>
      </c>
      <c r="AF12" s="276">
        <v>2</v>
      </c>
      <c r="AG12" s="82">
        <f t="shared" si="0"/>
        <v>0.11764705882352941</v>
      </c>
      <c r="AH12" s="276">
        <v>2</v>
      </c>
      <c r="AI12" s="82">
        <f t="shared" si="1"/>
        <v>0.11764705882352941</v>
      </c>
      <c r="AJ12" s="155" t="str">
        <f t="shared" si="2"/>
        <v>OK</v>
      </c>
      <c r="AK12" t="s">
        <v>26</v>
      </c>
      <c r="AL12">
        <v>17</v>
      </c>
      <c r="AM12">
        <v>17</v>
      </c>
      <c r="AN12">
        <v>2</v>
      </c>
      <c r="AO12" s="217">
        <v>0.11764705882352941</v>
      </c>
      <c r="AP12">
        <v>2</v>
      </c>
      <c r="AQ12" s="217">
        <v>0.11764705882352941</v>
      </c>
    </row>
    <row r="13" spans="1:43" x14ac:dyDescent="0.35">
      <c r="A13" s="16" t="s">
        <v>306</v>
      </c>
      <c r="B13" s="13">
        <v>170</v>
      </c>
      <c r="C13" s="13">
        <v>149</v>
      </c>
      <c r="D13" s="13">
        <v>16</v>
      </c>
      <c r="E13" s="26">
        <v>0.10738255033557047</v>
      </c>
      <c r="F13" s="13">
        <v>6</v>
      </c>
      <c r="G13" s="26">
        <v>4.0268456375838924E-2</v>
      </c>
      <c r="H13" s="13"/>
      <c r="I13" s="13">
        <v>170</v>
      </c>
      <c r="J13" s="13">
        <v>158</v>
      </c>
      <c r="K13" s="13">
        <v>9</v>
      </c>
      <c r="L13" s="26">
        <v>5.6962025316455694E-2</v>
      </c>
      <c r="M13" s="13">
        <v>4</v>
      </c>
      <c r="N13" s="26">
        <v>2.5316455696202531E-2</v>
      </c>
      <c r="O13" s="13"/>
      <c r="P13" s="13">
        <v>180</v>
      </c>
      <c r="Q13" s="13">
        <v>159</v>
      </c>
      <c r="R13" s="13">
        <v>11</v>
      </c>
      <c r="S13" s="26">
        <v>6.9182389937106917E-2</v>
      </c>
      <c r="T13" s="13">
        <v>7</v>
      </c>
      <c r="U13" s="26">
        <v>4.40251572327044E-2</v>
      </c>
      <c r="V13" s="13"/>
      <c r="W13" s="13">
        <v>167</v>
      </c>
      <c r="X13" s="13">
        <v>158</v>
      </c>
      <c r="Y13" s="13">
        <v>10</v>
      </c>
      <c r="Z13" s="26">
        <v>6.3291139240506333E-2</v>
      </c>
      <c r="AA13" s="13">
        <v>1</v>
      </c>
      <c r="AB13" s="26">
        <v>6.3291139240506328E-3</v>
      </c>
      <c r="AC13" s="13"/>
      <c r="AD13" s="276">
        <v>154</v>
      </c>
      <c r="AE13" s="276">
        <v>149</v>
      </c>
      <c r="AF13" s="276">
        <v>13</v>
      </c>
      <c r="AG13" s="82">
        <f t="shared" si="0"/>
        <v>8.7248322147651006E-2</v>
      </c>
      <c r="AH13" s="276">
        <v>35</v>
      </c>
      <c r="AI13" s="82">
        <f t="shared" si="1"/>
        <v>0.2348993288590604</v>
      </c>
      <c r="AJ13" s="155" t="str">
        <f t="shared" si="2"/>
        <v>OK</v>
      </c>
      <c r="AK13" t="s">
        <v>306</v>
      </c>
      <c r="AL13">
        <v>154</v>
      </c>
      <c r="AM13">
        <v>149</v>
      </c>
      <c r="AN13">
        <v>13</v>
      </c>
      <c r="AO13" s="217">
        <v>8.7248322147651006E-2</v>
      </c>
      <c r="AP13">
        <v>35</v>
      </c>
      <c r="AQ13" s="217">
        <v>0.2348993288590604</v>
      </c>
    </row>
    <row r="14" spans="1:43" x14ac:dyDescent="0.35">
      <c r="A14" s="16" t="s">
        <v>3</v>
      </c>
      <c r="B14" s="13">
        <v>231</v>
      </c>
      <c r="C14" s="13">
        <v>209</v>
      </c>
      <c r="D14" s="13">
        <v>8</v>
      </c>
      <c r="E14" s="26">
        <v>3.8277511961722487E-2</v>
      </c>
      <c r="F14" s="13">
        <v>2</v>
      </c>
      <c r="G14" s="26">
        <v>9.5693779904306216E-3</v>
      </c>
      <c r="H14" s="13"/>
      <c r="I14" s="13">
        <v>250</v>
      </c>
      <c r="J14" s="13">
        <v>233</v>
      </c>
      <c r="K14" s="13">
        <v>12</v>
      </c>
      <c r="L14" s="26">
        <v>5.1502145922746781E-2</v>
      </c>
      <c r="M14" s="13">
        <v>1</v>
      </c>
      <c r="N14" s="26">
        <v>4.2918454935622317E-3</v>
      </c>
      <c r="O14" s="13"/>
      <c r="P14" s="13">
        <v>254</v>
      </c>
      <c r="Q14" s="13">
        <v>222</v>
      </c>
      <c r="R14" s="13">
        <v>6</v>
      </c>
      <c r="S14" s="26">
        <v>2.7027027027027029E-2</v>
      </c>
      <c r="T14" s="13">
        <v>2</v>
      </c>
      <c r="U14" s="26">
        <v>9.0090090090090089E-3</v>
      </c>
      <c r="V14" s="13"/>
      <c r="W14" s="13">
        <v>265</v>
      </c>
      <c r="X14" s="13">
        <v>252</v>
      </c>
      <c r="Y14" s="13">
        <v>6</v>
      </c>
      <c r="Z14" s="26">
        <v>2.3809523809523808E-2</v>
      </c>
      <c r="AA14" s="13">
        <v>7</v>
      </c>
      <c r="AB14" s="26">
        <v>2.7777777777777776E-2</v>
      </c>
      <c r="AC14" s="13"/>
      <c r="AD14" s="276">
        <v>171</v>
      </c>
      <c r="AE14" s="276">
        <v>163</v>
      </c>
      <c r="AF14" s="276">
        <v>12</v>
      </c>
      <c r="AG14" s="82">
        <f t="shared" si="0"/>
        <v>7.3619631901840496E-2</v>
      </c>
      <c r="AH14" s="276">
        <v>29</v>
      </c>
      <c r="AI14" s="82">
        <f t="shared" si="1"/>
        <v>0.17791411042944785</v>
      </c>
      <c r="AJ14" s="155" t="str">
        <f t="shared" si="2"/>
        <v>OK</v>
      </c>
      <c r="AK14" t="s">
        <v>3</v>
      </c>
      <c r="AL14">
        <v>171</v>
      </c>
      <c r="AM14">
        <v>163</v>
      </c>
      <c r="AN14">
        <v>12</v>
      </c>
      <c r="AO14" s="217">
        <v>7.3619631901840496E-2</v>
      </c>
      <c r="AP14">
        <v>29</v>
      </c>
      <c r="AQ14" s="217">
        <v>0.17791411042944785</v>
      </c>
    </row>
    <row r="15" spans="1:43" x14ac:dyDescent="0.35">
      <c r="A15" s="16" t="s">
        <v>22</v>
      </c>
      <c r="B15" s="13">
        <v>47</v>
      </c>
      <c r="C15" s="13">
        <v>45</v>
      </c>
      <c r="D15" s="13">
        <v>0</v>
      </c>
      <c r="E15" s="26">
        <v>0</v>
      </c>
      <c r="F15" s="13">
        <v>1</v>
      </c>
      <c r="G15" s="26">
        <v>2.2222222222222223E-2</v>
      </c>
      <c r="H15" s="13"/>
      <c r="I15" s="13">
        <v>45</v>
      </c>
      <c r="J15" s="13">
        <v>40</v>
      </c>
      <c r="K15" s="13">
        <v>2</v>
      </c>
      <c r="L15" s="26">
        <v>0.05</v>
      </c>
      <c r="M15" s="13">
        <v>1</v>
      </c>
      <c r="N15" s="26">
        <v>2.5000000000000001E-2</v>
      </c>
      <c r="O15" s="13"/>
      <c r="P15" s="13">
        <v>43</v>
      </c>
      <c r="Q15" s="13">
        <v>42</v>
      </c>
      <c r="R15" s="13"/>
      <c r="S15" s="26">
        <v>0</v>
      </c>
      <c r="T15" s="13">
        <v>5</v>
      </c>
      <c r="U15" s="26">
        <v>0.11904761904761904</v>
      </c>
      <c r="V15" s="13"/>
      <c r="W15" s="13">
        <v>43</v>
      </c>
      <c r="X15" s="13">
        <v>42</v>
      </c>
      <c r="Y15" s="13">
        <v>1</v>
      </c>
      <c r="Z15" s="26">
        <v>2.3809523809523808E-2</v>
      </c>
      <c r="AA15" s="13">
        <v>7</v>
      </c>
      <c r="AB15" s="26">
        <v>0.16666666666666666</v>
      </c>
      <c r="AC15" s="13"/>
      <c r="AD15" s="276">
        <v>33</v>
      </c>
      <c r="AE15" s="276">
        <v>33</v>
      </c>
      <c r="AF15" s="276">
        <v>5</v>
      </c>
      <c r="AG15" s="82">
        <f t="shared" si="0"/>
        <v>0.15151515151515152</v>
      </c>
      <c r="AH15" s="276">
        <v>6</v>
      </c>
      <c r="AI15" s="82">
        <f t="shared" si="1"/>
        <v>0.18181818181818182</v>
      </c>
      <c r="AJ15" s="155" t="str">
        <f t="shared" si="2"/>
        <v>OK</v>
      </c>
      <c r="AK15" t="s">
        <v>22</v>
      </c>
      <c r="AL15">
        <v>33</v>
      </c>
      <c r="AM15">
        <v>33</v>
      </c>
      <c r="AN15">
        <v>5</v>
      </c>
      <c r="AO15" s="217">
        <v>0.15151515151515152</v>
      </c>
      <c r="AP15">
        <v>6</v>
      </c>
      <c r="AQ15" s="217">
        <v>0.18181818181818182</v>
      </c>
    </row>
    <row r="16" spans="1:43" x14ac:dyDescent="0.35">
      <c r="A16" s="16" t="s">
        <v>23</v>
      </c>
      <c r="B16" s="13">
        <v>21</v>
      </c>
      <c r="C16" s="13">
        <v>20</v>
      </c>
      <c r="D16" s="13">
        <v>1</v>
      </c>
      <c r="E16" s="26">
        <v>0.05</v>
      </c>
      <c r="F16" s="13">
        <v>0</v>
      </c>
      <c r="G16" s="26">
        <v>0</v>
      </c>
      <c r="H16" s="13"/>
      <c r="I16" s="13">
        <v>22</v>
      </c>
      <c r="J16" s="13">
        <v>21</v>
      </c>
      <c r="K16" s="13">
        <v>1</v>
      </c>
      <c r="L16" s="26">
        <v>4.7619047619047616E-2</v>
      </c>
      <c r="M16" s="13">
        <v>0</v>
      </c>
      <c r="N16" s="26">
        <v>0</v>
      </c>
      <c r="O16" s="13"/>
      <c r="P16" s="13">
        <v>22</v>
      </c>
      <c r="Q16" s="13">
        <v>20</v>
      </c>
      <c r="R16" s="13">
        <v>1</v>
      </c>
      <c r="S16" s="26">
        <v>0.05</v>
      </c>
      <c r="T16" s="13"/>
      <c r="U16" s="26">
        <v>0</v>
      </c>
      <c r="V16" s="13"/>
      <c r="W16" s="13">
        <v>24</v>
      </c>
      <c r="X16" s="13">
        <v>23</v>
      </c>
      <c r="Y16" s="13">
        <v>1</v>
      </c>
      <c r="Z16" s="26">
        <v>4.3478260869565216E-2</v>
      </c>
      <c r="AA16" s="13">
        <v>1</v>
      </c>
      <c r="AB16" s="26">
        <v>4.3478260869565216E-2</v>
      </c>
      <c r="AC16" s="13"/>
      <c r="AD16" s="276">
        <v>19</v>
      </c>
      <c r="AE16" s="276">
        <v>18</v>
      </c>
      <c r="AF16" s="276">
        <v>1</v>
      </c>
      <c r="AG16" s="82">
        <f t="shared" si="0"/>
        <v>5.5555555555555552E-2</v>
      </c>
      <c r="AH16" s="276">
        <v>3</v>
      </c>
      <c r="AI16" s="82">
        <f t="shared" si="1"/>
        <v>0.16666666666666666</v>
      </c>
      <c r="AJ16" s="155" t="str">
        <f t="shared" si="2"/>
        <v>OK</v>
      </c>
      <c r="AK16" t="s">
        <v>23</v>
      </c>
      <c r="AL16">
        <v>19</v>
      </c>
      <c r="AM16">
        <v>18</v>
      </c>
      <c r="AN16">
        <v>1</v>
      </c>
      <c r="AO16" s="217">
        <v>5.5555555555555552E-2</v>
      </c>
      <c r="AP16">
        <v>3</v>
      </c>
      <c r="AQ16" s="217">
        <v>0.16666666666666666</v>
      </c>
    </row>
    <row r="17" spans="1:43" x14ac:dyDescent="0.35">
      <c r="A17" s="16" t="s">
        <v>4</v>
      </c>
      <c r="B17" s="13">
        <v>26</v>
      </c>
      <c r="C17" s="13">
        <v>24</v>
      </c>
      <c r="D17" s="13">
        <v>0</v>
      </c>
      <c r="E17" s="26">
        <v>0</v>
      </c>
      <c r="F17" s="13">
        <v>1</v>
      </c>
      <c r="G17" s="26">
        <v>4.1666666666666664E-2</v>
      </c>
      <c r="H17" s="13"/>
      <c r="I17" s="13">
        <v>28</v>
      </c>
      <c r="J17" s="13">
        <v>26</v>
      </c>
      <c r="K17" s="13">
        <v>1</v>
      </c>
      <c r="L17" s="26">
        <v>3.8461538461538464E-2</v>
      </c>
      <c r="M17" s="13">
        <v>0</v>
      </c>
      <c r="N17" s="26">
        <v>0</v>
      </c>
      <c r="O17" s="13"/>
      <c r="P17" s="13">
        <v>36</v>
      </c>
      <c r="Q17" s="13">
        <v>30</v>
      </c>
      <c r="R17" s="13">
        <v>2</v>
      </c>
      <c r="S17" s="26">
        <v>6.6666666666666666E-2</v>
      </c>
      <c r="T17" s="13"/>
      <c r="U17" s="26">
        <v>0</v>
      </c>
      <c r="V17" s="13"/>
      <c r="W17" s="13">
        <v>33</v>
      </c>
      <c r="X17" s="13">
        <v>33</v>
      </c>
      <c r="Y17" s="13"/>
      <c r="Z17" s="26">
        <v>0</v>
      </c>
      <c r="AA17" s="13"/>
      <c r="AB17" s="26">
        <v>0</v>
      </c>
      <c r="AC17" s="13"/>
      <c r="AD17" s="276">
        <v>16</v>
      </c>
      <c r="AE17" s="276">
        <v>15</v>
      </c>
      <c r="AF17" s="276"/>
      <c r="AG17" s="82">
        <f t="shared" si="0"/>
        <v>0</v>
      </c>
      <c r="AH17" s="276"/>
      <c r="AI17" s="82">
        <f t="shared" si="1"/>
        <v>0</v>
      </c>
      <c r="AJ17" s="155" t="str">
        <f t="shared" si="2"/>
        <v>OK</v>
      </c>
      <c r="AK17" t="s">
        <v>4</v>
      </c>
      <c r="AL17">
        <v>16</v>
      </c>
      <c r="AM17">
        <v>15</v>
      </c>
      <c r="AO17" s="217">
        <v>0</v>
      </c>
      <c r="AQ17" s="217">
        <v>0</v>
      </c>
    </row>
    <row r="18" spans="1:43" x14ac:dyDescent="0.35">
      <c r="A18" s="16" t="s">
        <v>6</v>
      </c>
      <c r="B18" s="13">
        <v>212</v>
      </c>
      <c r="C18" s="13">
        <v>205</v>
      </c>
      <c r="D18" s="13">
        <v>14</v>
      </c>
      <c r="E18" s="26">
        <v>6.8292682926829273E-2</v>
      </c>
      <c r="F18" s="13">
        <v>6</v>
      </c>
      <c r="G18" s="26">
        <v>2.9268292682926831E-2</v>
      </c>
      <c r="H18" s="13"/>
      <c r="I18" s="13">
        <v>205</v>
      </c>
      <c r="J18" s="13">
        <v>191</v>
      </c>
      <c r="K18" s="13">
        <v>7</v>
      </c>
      <c r="L18" s="26">
        <v>3.6649214659685861E-2</v>
      </c>
      <c r="M18" s="13">
        <v>10</v>
      </c>
      <c r="N18" s="26">
        <v>5.2356020942408377E-2</v>
      </c>
      <c r="O18" s="13"/>
      <c r="P18" s="13">
        <v>183</v>
      </c>
      <c r="Q18" s="13">
        <v>174</v>
      </c>
      <c r="R18" s="13">
        <v>8</v>
      </c>
      <c r="S18" s="26">
        <v>4.5977011494252873E-2</v>
      </c>
      <c r="T18" s="13">
        <v>7</v>
      </c>
      <c r="U18" s="26">
        <v>4.0229885057471264E-2</v>
      </c>
      <c r="V18" s="13"/>
      <c r="W18" s="13">
        <v>181</v>
      </c>
      <c r="X18" s="13">
        <v>177</v>
      </c>
      <c r="Y18" s="13">
        <v>6</v>
      </c>
      <c r="Z18" s="26">
        <v>3.3898305084745763E-2</v>
      </c>
      <c r="AA18" s="13">
        <v>6</v>
      </c>
      <c r="AB18" s="26">
        <v>3.3898305084745763E-2</v>
      </c>
      <c r="AC18" s="13"/>
      <c r="AD18" s="276">
        <v>125</v>
      </c>
      <c r="AE18" s="276">
        <v>123</v>
      </c>
      <c r="AF18" s="276">
        <v>1</v>
      </c>
      <c r="AG18" s="82">
        <f t="shared" si="0"/>
        <v>8.130081300813009E-3</v>
      </c>
      <c r="AH18" s="276">
        <v>11</v>
      </c>
      <c r="AI18" s="82">
        <f t="shared" si="1"/>
        <v>8.943089430894309E-2</v>
      </c>
      <c r="AJ18" s="155" t="str">
        <f t="shared" si="2"/>
        <v>OK</v>
      </c>
      <c r="AK18" t="s">
        <v>6</v>
      </c>
      <c r="AL18">
        <v>125</v>
      </c>
      <c r="AM18">
        <v>123</v>
      </c>
      <c r="AN18">
        <v>1</v>
      </c>
      <c r="AO18" s="217">
        <v>8.130081300813009E-3</v>
      </c>
      <c r="AP18">
        <v>11</v>
      </c>
      <c r="AQ18" s="217">
        <v>8.943089430894309E-2</v>
      </c>
    </row>
    <row r="19" spans="1:43" x14ac:dyDescent="0.35">
      <c r="A19" s="16" t="s">
        <v>5</v>
      </c>
      <c r="B19" s="13">
        <v>21</v>
      </c>
      <c r="C19" s="13">
        <v>20</v>
      </c>
      <c r="D19" s="13">
        <v>0</v>
      </c>
      <c r="E19" s="26">
        <v>0</v>
      </c>
      <c r="F19" s="13">
        <v>0</v>
      </c>
      <c r="G19" s="26">
        <v>0</v>
      </c>
      <c r="H19" s="13"/>
      <c r="I19" s="13">
        <v>24</v>
      </c>
      <c r="J19" s="13">
        <v>23</v>
      </c>
      <c r="K19" s="13">
        <v>0</v>
      </c>
      <c r="L19" s="26">
        <v>0</v>
      </c>
      <c r="M19" s="13">
        <v>0</v>
      </c>
      <c r="N19" s="26">
        <v>0</v>
      </c>
      <c r="O19" s="13"/>
      <c r="P19" s="13">
        <v>24</v>
      </c>
      <c r="Q19" s="13">
        <v>23</v>
      </c>
      <c r="R19" s="13"/>
      <c r="S19" s="26">
        <v>0</v>
      </c>
      <c r="T19" s="13"/>
      <c r="U19" s="26">
        <v>0</v>
      </c>
      <c r="V19" s="13"/>
      <c r="W19" s="13">
        <v>22</v>
      </c>
      <c r="X19" s="13">
        <v>22</v>
      </c>
      <c r="Y19" s="13"/>
      <c r="Z19" s="26">
        <v>0</v>
      </c>
      <c r="AA19" s="13"/>
      <c r="AB19" s="26">
        <v>0</v>
      </c>
      <c r="AC19" s="13"/>
      <c r="AD19" s="276">
        <v>18</v>
      </c>
      <c r="AE19" s="276">
        <v>18</v>
      </c>
      <c r="AF19" s="276"/>
      <c r="AG19" s="82">
        <f t="shared" si="0"/>
        <v>0</v>
      </c>
      <c r="AH19" s="276"/>
      <c r="AI19" s="82">
        <f t="shared" si="1"/>
        <v>0</v>
      </c>
      <c r="AJ19" s="155" t="str">
        <f t="shared" si="2"/>
        <v>OK</v>
      </c>
      <c r="AK19" t="s">
        <v>5</v>
      </c>
      <c r="AL19">
        <v>18</v>
      </c>
      <c r="AM19">
        <v>18</v>
      </c>
      <c r="AO19" s="217">
        <v>0</v>
      </c>
      <c r="AQ19" s="217">
        <v>0</v>
      </c>
    </row>
    <row r="20" spans="1:43" x14ac:dyDescent="0.35">
      <c r="A20" s="16" t="s">
        <v>24</v>
      </c>
      <c r="B20" s="13">
        <v>19</v>
      </c>
      <c r="C20" s="13">
        <v>18</v>
      </c>
      <c r="D20" s="13">
        <v>3</v>
      </c>
      <c r="E20" s="26">
        <v>0.16666666666666666</v>
      </c>
      <c r="F20" s="13">
        <v>0</v>
      </c>
      <c r="G20" s="26">
        <v>0</v>
      </c>
      <c r="H20" s="13"/>
      <c r="I20" s="13">
        <v>19</v>
      </c>
      <c r="J20" s="13">
        <v>17</v>
      </c>
      <c r="K20" s="13">
        <v>0</v>
      </c>
      <c r="L20" s="26">
        <v>0</v>
      </c>
      <c r="M20" s="13">
        <v>0</v>
      </c>
      <c r="N20" s="26">
        <v>0</v>
      </c>
      <c r="O20" s="13"/>
      <c r="P20" s="13">
        <v>18</v>
      </c>
      <c r="Q20" s="13">
        <v>18</v>
      </c>
      <c r="R20" s="13"/>
      <c r="S20" s="26">
        <v>0</v>
      </c>
      <c r="T20" s="13"/>
      <c r="U20" s="26">
        <v>0</v>
      </c>
      <c r="V20" s="13"/>
      <c r="W20" s="13">
        <v>17</v>
      </c>
      <c r="X20" s="13">
        <v>17</v>
      </c>
      <c r="Y20" s="13"/>
      <c r="Z20" s="26">
        <v>0</v>
      </c>
      <c r="AA20" s="13"/>
      <c r="AB20" s="26">
        <v>0</v>
      </c>
      <c r="AC20" s="13"/>
      <c r="AD20" s="276">
        <v>8</v>
      </c>
      <c r="AE20" s="276">
        <v>8</v>
      </c>
      <c r="AF20" s="276"/>
      <c r="AG20" s="82">
        <f t="shared" si="0"/>
        <v>0</v>
      </c>
      <c r="AH20" s="276">
        <v>1</v>
      </c>
      <c r="AI20" s="82">
        <f t="shared" si="1"/>
        <v>0.125</v>
      </c>
      <c r="AJ20" s="155" t="str">
        <f t="shared" si="2"/>
        <v>OK</v>
      </c>
      <c r="AK20" t="s">
        <v>24</v>
      </c>
      <c r="AL20">
        <v>8</v>
      </c>
      <c r="AM20">
        <v>8</v>
      </c>
      <c r="AO20" s="217">
        <v>0</v>
      </c>
      <c r="AP20">
        <v>1</v>
      </c>
      <c r="AQ20" s="217">
        <v>0.125</v>
      </c>
    </row>
    <row r="21" spans="1:43" x14ac:dyDescent="0.35">
      <c r="A21" s="16" t="s">
        <v>7</v>
      </c>
      <c r="B21" s="13">
        <v>118</v>
      </c>
      <c r="C21" s="13">
        <v>115</v>
      </c>
      <c r="D21" s="13">
        <v>3</v>
      </c>
      <c r="E21" s="26">
        <v>2.6086956521739129E-2</v>
      </c>
      <c r="F21" s="13">
        <v>1</v>
      </c>
      <c r="G21" s="26">
        <v>8.6956521739130436E-3</v>
      </c>
      <c r="H21" s="13"/>
      <c r="I21" s="13">
        <v>116</v>
      </c>
      <c r="J21" s="13">
        <v>113</v>
      </c>
      <c r="K21" s="13">
        <v>1</v>
      </c>
      <c r="L21" s="26">
        <v>8.8495575221238937E-3</v>
      </c>
      <c r="M21" s="13">
        <v>3</v>
      </c>
      <c r="N21" s="26">
        <v>2.6548672566371681E-2</v>
      </c>
      <c r="O21" s="13"/>
      <c r="P21" s="13">
        <v>109</v>
      </c>
      <c r="Q21" s="13">
        <v>108</v>
      </c>
      <c r="R21" s="13">
        <v>1</v>
      </c>
      <c r="S21" s="26">
        <v>9.2592592592592587E-3</v>
      </c>
      <c r="T21" s="13">
        <v>1</v>
      </c>
      <c r="U21" s="26">
        <v>9.2592592592592587E-3</v>
      </c>
      <c r="V21" s="13"/>
      <c r="W21" s="13">
        <v>100</v>
      </c>
      <c r="X21" s="13">
        <v>99</v>
      </c>
      <c r="Y21" s="13"/>
      <c r="Z21" s="26">
        <v>0</v>
      </c>
      <c r="AA21" s="13"/>
      <c r="AB21" s="26">
        <v>0</v>
      </c>
      <c r="AC21" s="13"/>
      <c r="AD21" s="276">
        <v>88</v>
      </c>
      <c r="AE21" s="276">
        <v>88</v>
      </c>
      <c r="AF21" s="276">
        <v>2</v>
      </c>
      <c r="AG21" s="82">
        <f t="shared" si="0"/>
        <v>2.2727272727272728E-2</v>
      </c>
      <c r="AH21" s="276">
        <v>4</v>
      </c>
      <c r="AI21" s="82">
        <f t="shared" si="1"/>
        <v>4.5454545454545456E-2</v>
      </c>
      <c r="AJ21" s="155" t="str">
        <f t="shared" si="2"/>
        <v>OK</v>
      </c>
      <c r="AK21" t="s">
        <v>7</v>
      </c>
      <c r="AL21">
        <v>88</v>
      </c>
      <c r="AM21">
        <v>88</v>
      </c>
      <c r="AN21">
        <v>2</v>
      </c>
      <c r="AO21" s="217">
        <v>2.2727272727272728E-2</v>
      </c>
      <c r="AP21">
        <v>4</v>
      </c>
      <c r="AQ21" s="217">
        <v>4.5454545454545456E-2</v>
      </c>
    </row>
    <row r="22" spans="1:43" x14ac:dyDescent="0.35">
      <c r="A22" s="16" t="s">
        <v>8</v>
      </c>
      <c r="B22" s="13">
        <v>29</v>
      </c>
      <c r="C22" s="13">
        <v>26</v>
      </c>
      <c r="D22" s="13">
        <v>1</v>
      </c>
      <c r="E22" s="26">
        <v>3.8461538461538464E-2</v>
      </c>
      <c r="F22" s="13">
        <v>0</v>
      </c>
      <c r="G22" s="26">
        <v>0</v>
      </c>
      <c r="H22" s="13"/>
      <c r="I22" s="13">
        <v>24</v>
      </c>
      <c r="J22" s="13">
        <v>21</v>
      </c>
      <c r="K22" s="13">
        <v>1</v>
      </c>
      <c r="L22" s="26">
        <v>4.7619047619047616E-2</v>
      </c>
      <c r="M22" s="13">
        <v>0</v>
      </c>
      <c r="N22" s="26">
        <v>0</v>
      </c>
      <c r="O22" s="13"/>
      <c r="P22" s="13">
        <v>25</v>
      </c>
      <c r="Q22" s="13">
        <v>21</v>
      </c>
      <c r="R22" s="13">
        <v>2</v>
      </c>
      <c r="S22" s="26">
        <v>9.5238095238095233E-2</v>
      </c>
      <c r="T22" s="13"/>
      <c r="U22" s="26">
        <v>0</v>
      </c>
      <c r="V22" s="13"/>
      <c r="W22" s="13">
        <v>22</v>
      </c>
      <c r="X22" s="13">
        <v>20</v>
      </c>
      <c r="Y22" s="13"/>
      <c r="Z22" s="26">
        <v>0</v>
      </c>
      <c r="AA22" s="13"/>
      <c r="AB22" s="26">
        <v>0</v>
      </c>
      <c r="AC22" s="13"/>
      <c r="AD22" s="276">
        <v>36</v>
      </c>
      <c r="AE22" s="276">
        <v>35</v>
      </c>
      <c r="AF22" s="276">
        <v>1</v>
      </c>
      <c r="AG22" s="82">
        <f t="shared" si="0"/>
        <v>2.8571428571428571E-2</v>
      </c>
      <c r="AH22" s="276">
        <v>3</v>
      </c>
      <c r="AI22" s="82">
        <f t="shared" si="1"/>
        <v>8.5714285714285715E-2</v>
      </c>
      <c r="AJ22" s="155" t="str">
        <f t="shared" si="2"/>
        <v>OK</v>
      </c>
      <c r="AK22" t="s">
        <v>8</v>
      </c>
      <c r="AL22">
        <v>36</v>
      </c>
      <c r="AM22">
        <v>35</v>
      </c>
      <c r="AN22">
        <v>1</v>
      </c>
      <c r="AO22" s="217">
        <v>2.8571428571428571E-2</v>
      </c>
      <c r="AP22">
        <v>3</v>
      </c>
      <c r="AQ22" s="217">
        <v>8.5714285714285715E-2</v>
      </c>
    </row>
    <row r="23" spans="1:43" x14ac:dyDescent="0.35">
      <c r="A23" s="16" t="s">
        <v>19</v>
      </c>
      <c r="B23" s="13">
        <v>1267</v>
      </c>
      <c r="C23" s="13">
        <v>1190</v>
      </c>
      <c r="D23" s="13">
        <v>215</v>
      </c>
      <c r="E23" s="26">
        <v>0.18067226890756302</v>
      </c>
      <c r="F23" s="13">
        <v>25</v>
      </c>
      <c r="G23" s="26">
        <v>2.100840336134454E-2</v>
      </c>
      <c r="H23" s="13"/>
      <c r="I23" s="13">
        <v>1277</v>
      </c>
      <c r="J23" s="13">
        <v>1220</v>
      </c>
      <c r="K23" s="13">
        <v>199</v>
      </c>
      <c r="L23" s="26">
        <v>0.16311475409836065</v>
      </c>
      <c r="M23" s="13">
        <v>29</v>
      </c>
      <c r="N23" s="26">
        <v>2.3770491803278688E-2</v>
      </c>
      <c r="O23" s="13"/>
      <c r="P23" s="13">
        <v>1292</v>
      </c>
      <c r="Q23" s="13">
        <v>1190</v>
      </c>
      <c r="R23" s="13">
        <v>166</v>
      </c>
      <c r="S23" s="26">
        <v>0.13949579831932774</v>
      </c>
      <c r="T23" s="13">
        <v>29</v>
      </c>
      <c r="U23" s="26">
        <v>2.4369747899159664E-2</v>
      </c>
      <c r="V23" s="13"/>
      <c r="W23" s="13">
        <v>1263</v>
      </c>
      <c r="X23" s="13">
        <v>1221</v>
      </c>
      <c r="Y23" s="13">
        <v>123</v>
      </c>
      <c r="Z23" s="26">
        <v>0.10073710073710074</v>
      </c>
      <c r="AA23" s="13">
        <v>22</v>
      </c>
      <c r="AB23" s="26">
        <v>1.8018018018018018E-2</v>
      </c>
      <c r="AC23" s="13"/>
      <c r="AD23" s="276">
        <v>1131</v>
      </c>
      <c r="AE23" s="276">
        <v>1106</v>
      </c>
      <c r="AF23" s="276">
        <v>181</v>
      </c>
      <c r="AG23" s="82">
        <f t="shared" si="0"/>
        <v>0.16365280289330922</v>
      </c>
      <c r="AH23" s="276">
        <v>96</v>
      </c>
      <c r="AI23" s="82">
        <f t="shared" si="1"/>
        <v>8.6799276672694395E-2</v>
      </c>
      <c r="AJ23" s="155" t="str">
        <f t="shared" si="2"/>
        <v>OK</v>
      </c>
      <c r="AK23" t="s">
        <v>19</v>
      </c>
      <c r="AL23">
        <v>1131</v>
      </c>
      <c r="AM23">
        <v>1106</v>
      </c>
      <c r="AN23">
        <v>181</v>
      </c>
      <c r="AO23" s="217">
        <v>0.16365280289330922</v>
      </c>
      <c r="AP23">
        <v>96</v>
      </c>
      <c r="AQ23" s="217">
        <v>8.6799276672694395E-2</v>
      </c>
    </row>
    <row r="24" spans="1:43" x14ac:dyDescent="0.35">
      <c r="A24" s="16" t="s">
        <v>20</v>
      </c>
      <c r="B24" s="13">
        <v>1</v>
      </c>
      <c r="C24" s="13">
        <v>1</v>
      </c>
      <c r="D24" s="13">
        <v>0</v>
      </c>
      <c r="E24" s="26">
        <v>0</v>
      </c>
      <c r="F24" s="13">
        <v>0</v>
      </c>
      <c r="G24" s="26">
        <v>0</v>
      </c>
      <c r="H24" s="13"/>
      <c r="I24" s="13">
        <v>1</v>
      </c>
      <c r="J24" s="13">
        <v>1</v>
      </c>
      <c r="K24" s="13">
        <v>0</v>
      </c>
      <c r="L24" s="26">
        <v>0</v>
      </c>
      <c r="M24" s="13">
        <v>0</v>
      </c>
      <c r="N24" s="26">
        <v>0</v>
      </c>
      <c r="O24" s="13"/>
      <c r="P24" s="13">
        <v>1</v>
      </c>
      <c r="Q24" s="13">
        <v>1</v>
      </c>
      <c r="R24" s="13"/>
      <c r="S24" s="26">
        <v>0</v>
      </c>
      <c r="T24" s="13"/>
      <c r="U24" s="26">
        <v>0</v>
      </c>
      <c r="V24" s="13"/>
      <c r="W24" s="13">
        <v>1</v>
      </c>
      <c r="X24" s="13">
        <v>1</v>
      </c>
      <c r="Y24" s="13"/>
      <c r="Z24" s="26">
        <v>0</v>
      </c>
      <c r="AA24" s="13"/>
      <c r="AB24" s="26">
        <v>0</v>
      </c>
      <c r="AC24" s="13"/>
      <c r="AD24" s="276">
        <v>1</v>
      </c>
      <c r="AE24" s="276">
        <v>1</v>
      </c>
      <c r="AF24" s="276"/>
      <c r="AG24" s="82">
        <f t="shared" si="0"/>
        <v>0</v>
      </c>
      <c r="AH24" s="276"/>
      <c r="AI24" s="82">
        <f t="shared" si="1"/>
        <v>0</v>
      </c>
      <c r="AJ24" s="155" t="str">
        <f t="shared" si="2"/>
        <v>OK</v>
      </c>
      <c r="AK24" t="s">
        <v>20</v>
      </c>
      <c r="AL24">
        <v>1</v>
      </c>
      <c r="AM24">
        <v>1</v>
      </c>
      <c r="AO24" s="217">
        <v>0</v>
      </c>
      <c r="AQ24" s="217">
        <v>0</v>
      </c>
    </row>
    <row r="25" spans="1:43" x14ac:dyDescent="0.35">
      <c r="A25" s="16" t="s">
        <v>27</v>
      </c>
      <c r="B25" s="13">
        <v>3</v>
      </c>
      <c r="C25" s="13">
        <v>3</v>
      </c>
      <c r="D25" s="13">
        <v>0</v>
      </c>
      <c r="E25" s="26">
        <v>0</v>
      </c>
      <c r="F25" s="13">
        <v>0</v>
      </c>
      <c r="G25" s="26">
        <v>0</v>
      </c>
      <c r="H25" s="13"/>
      <c r="I25" s="13">
        <v>2</v>
      </c>
      <c r="J25" s="13">
        <v>2</v>
      </c>
      <c r="K25" s="13">
        <v>1</v>
      </c>
      <c r="L25" s="26">
        <v>0.5</v>
      </c>
      <c r="M25" s="13">
        <v>0</v>
      </c>
      <c r="N25" s="26">
        <v>0</v>
      </c>
      <c r="O25" s="13"/>
      <c r="P25" s="13">
        <v>2</v>
      </c>
      <c r="Q25" s="13">
        <v>2</v>
      </c>
      <c r="R25" s="13"/>
      <c r="S25" s="26">
        <v>0</v>
      </c>
      <c r="T25" s="13"/>
      <c r="U25" s="26">
        <v>0</v>
      </c>
      <c r="V25" s="13"/>
      <c r="W25" s="13">
        <v>3</v>
      </c>
      <c r="X25" s="13">
        <v>3</v>
      </c>
      <c r="Y25" s="13"/>
      <c r="Z25" s="26">
        <v>0</v>
      </c>
      <c r="AA25" s="13"/>
      <c r="AB25" s="26">
        <v>0</v>
      </c>
      <c r="AC25" s="13"/>
      <c r="AD25" s="276">
        <v>3</v>
      </c>
      <c r="AE25" s="276">
        <v>3</v>
      </c>
      <c r="AF25" s="276"/>
      <c r="AG25" s="82">
        <f t="shared" si="0"/>
        <v>0</v>
      </c>
      <c r="AH25" s="276"/>
      <c r="AI25" s="82">
        <f t="shared" si="1"/>
        <v>0</v>
      </c>
      <c r="AJ25" s="155" t="str">
        <f t="shared" si="2"/>
        <v>OK</v>
      </c>
      <c r="AK25" t="s">
        <v>27</v>
      </c>
      <c r="AL25">
        <v>3</v>
      </c>
      <c r="AM25">
        <v>3</v>
      </c>
      <c r="AO25" s="217">
        <v>0</v>
      </c>
      <c r="AQ25" s="217">
        <v>0</v>
      </c>
    </row>
    <row r="26" spans="1:43" x14ac:dyDescent="0.35">
      <c r="A26" s="16" t="s">
        <v>9</v>
      </c>
      <c r="B26" s="13">
        <v>30</v>
      </c>
      <c r="C26" s="13">
        <v>29</v>
      </c>
      <c r="D26" s="13">
        <v>1</v>
      </c>
      <c r="E26" s="26">
        <v>3.4482758620689655E-2</v>
      </c>
      <c r="F26" s="13">
        <v>1</v>
      </c>
      <c r="G26" s="26">
        <v>3.4482758620689655E-2</v>
      </c>
      <c r="H26" s="13"/>
      <c r="I26" s="13">
        <v>33</v>
      </c>
      <c r="J26" s="13">
        <v>29</v>
      </c>
      <c r="K26" s="13">
        <v>0</v>
      </c>
      <c r="L26" s="26">
        <v>0</v>
      </c>
      <c r="M26" s="13">
        <v>2</v>
      </c>
      <c r="N26" s="26">
        <v>6.8965517241379309E-2</v>
      </c>
      <c r="O26" s="13"/>
      <c r="P26" s="13">
        <v>31</v>
      </c>
      <c r="Q26" s="13">
        <v>28</v>
      </c>
      <c r="R26" s="13"/>
      <c r="S26" s="26">
        <v>0</v>
      </c>
      <c r="T26" s="13">
        <v>2</v>
      </c>
      <c r="U26" s="26">
        <v>7.1428571428571425E-2</v>
      </c>
      <c r="V26" s="13"/>
      <c r="W26" s="13">
        <v>34</v>
      </c>
      <c r="X26" s="13">
        <v>32</v>
      </c>
      <c r="Y26" s="13"/>
      <c r="Z26" s="26">
        <v>0</v>
      </c>
      <c r="AA26" s="13">
        <v>2</v>
      </c>
      <c r="AB26" s="26">
        <v>6.25E-2</v>
      </c>
      <c r="AC26" s="13"/>
      <c r="AD26" s="276">
        <v>27</v>
      </c>
      <c r="AE26" s="276">
        <v>27</v>
      </c>
      <c r="AF26" s="276"/>
      <c r="AG26" s="82">
        <f t="shared" si="0"/>
        <v>0</v>
      </c>
      <c r="AH26" s="276">
        <v>4</v>
      </c>
      <c r="AI26" s="82">
        <f t="shared" si="1"/>
        <v>0.14814814814814814</v>
      </c>
      <c r="AJ26" s="155" t="str">
        <f t="shared" si="2"/>
        <v>OK</v>
      </c>
      <c r="AK26" t="s">
        <v>9</v>
      </c>
      <c r="AL26">
        <v>27</v>
      </c>
      <c r="AM26">
        <v>27</v>
      </c>
      <c r="AO26" s="217">
        <v>0</v>
      </c>
      <c r="AP26">
        <v>4</v>
      </c>
      <c r="AQ26" s="217">
        <v>0.14814814814814814</v>
      </c>
    </row>
    <row r="27" spans="1:43" x14ac:dyDescent="0.35">
      <c r="A27" s="16" t="s">
        <v>342</v>
      </c>
      <c r="B27" s="13">
        <v>312</v>
      </c>
      <c r="C27" s="13">
        <v>282</v>
      </c>
      <c r="D27" s="13">
        <v>14</v>
      </c>
      <c r="E27" s="26">
        <v>4.9645390070921988E-2</v>
      </c>
      <c r="F27" s="13">
        <v>3</v>
      </c>
      <c r="G27" s="26">
        <v>1.0638297872340425E-2</v>
      </c>
      <c r="H27" s="13"/>
      <c r="I27" s="13">
        <v>305</v>
      </c>
      <c r="J27" s="13">
        <v>283</v>
      </c>
      <c r="K27" s="13">
        <v>14</v>
      </c>
      <c r="L27" s="26">
        <v>4.9469964664310952E-2</v>
      </c>
      <c r="M27" s="13">
        <v>4</v>
      </c>
      <c r="N27" s="26">
        <v>1.4134275618374558E-2</v>
      </c>
      <c r="O27" s="13"/>
      <c r="P27" s="13">
        <v>338</v>
      </c>
      <c r="Q27" s="13">
        <v>314</v>
      </c>
      <c r="R27" s="13">
        <v>11</v>
      </c>
      <c r="S27" s="26">
        <v>3.5031847133757961E-2</v>
      </c>
      <c r="T27" s="13">
        <v>10</v>
      </c>
      <c r="U27" s="26">
        <v>3.1847133757961783E-2</v>
      </c>
      <c r="V27" s="13"/>
      <c r="W27" s="13">
        <v>326</v>
      </c>
      <c r="X27" s="13">
        <v>309</v>
      </c>
      <c r="Y27" s="13">
        <v>19</v>
      </c>
      <c r="Z27" s="26">
        <v>6.1488673139158574E-2</v>
      </c>
      <c r="AA27" s="13">
        <v>4</v>
      </c>
      <c r="AB27" s="26">
        <v>1.2944983818770227E-2</v>
      </c>
      <c r="AC27" s="13"/>
      <c r="AD27" s="276">
        <v>283</v>
      </c>
      <c r="AE27" s="276">
        <v>281</v>
      </c>
      <c r="AF27" s="276">
        <v>8</v>
      </c>
      <c r="AG27" s="82">
        <f t="shared" si="0"/>
        <v>2.8469750889679714E-2</v>
      </c>
      <c r="AH27" s="276">
        <v>47</v>
      </c>
      <c r="AI27" s="82">
        <f t="shared" si="1"/>
        <v>0.16725978647686832</v>
      </c>
      <c r="AJ27" s="155" t="str">
        <f t="shared" si="2"/>
        <v>OK</v>
      </c>
      <c r="AK27" t="s">
        <v>342</v>
      </c>
      <c r="AL27">
        <v>283</v>
      </c>
      <c r="AM27">
        <v>281</v>
      </c>
      <c r="AN27">
        <v>8</v>
      </c>
      <c r="AO27" s="217">
        <v>2.8469750889679714E-2</v>
      </c>
      <c r="AP27">
        <v>47</v>
      </c>
      <c r="AQ27" s="217">
        <v>0.16725978647686832</v>
      </c>
    </row>
    <row r="28" spans="1:43" x14ac:dyDescent="0.35">
      <c r="A28" s="16" t="s">
        <v>178</v>
      </c>
      <c r="B28" s="13">
        <v>55</v>
      </c>
      <c r="C28" s="13">
        <v>53</v>
      </c>
      <c r="D28" s="13">
        <v>3</v>
      </c>
      <c r="E28" s="26">
        <v>5.6603773584905662E-2</v>
      </c>
      <c r="F28" s="13">
        <v>2</v>
      </c>
      <c r="G28" s="26">
        <v>3.7735849056603772E-2</v>
      </c>
      <c r="H28" s="13"/>
      <c r="I28" s="13">
        <v>53</v>
      </c>
      <c r="J28" s="13">
        <v>49</v>
      </c>
      <c r="K28" s="13">
        <v>5</v>
      </c>
      <c r="L28" s="26">
        <v>0.10204081632653061</v>
      </c>
      <c r="M28" s="13">
        <v>0</v>
      </c>
      <c r="N28" s="26">
        <v>0</v>
      </c>
      <c r="O28" s="13"/>
      <c r="P28" s="13">
        <v>60</v>
      </c>
      <c r="Q28" s="13">
        <v>54</v>
      </c>
      <c r="R28" s="13">
        <v>2</v>
      </c>
      <c r="S28" s="26">
        <v>3.7037037037037035E-2</v>
      </c>
      <c r="T28" s="13">
        <v>1</v>
      </c>
      <c r="U28" s="26">
        <v>1.8518518518518517E-2</v>
      </c>
      <c r="V28" s="13"/>
      <c r="W28" s="13">
        <v>64</v>
      </c>
      <c r="X28" s="13">
        <v>61</v>
      </c>
      <c r="Y28" s="13">
        <v>1</v>
      </c>
      <c r="Z28" s="26">
        <v>1.6393442622950821E-2</v>
      </c>
      <c r="AA28" s="13">
        <v>2</v>
      </c>
      <c r="AB28" s="26">
        <v>3.2786885245901641E-2</v>
      </c>
      <c r="AC28" s="13"/>
      <c r="AD28" s="276">
        <v>61</v>
      </c>
      <c r="AE28" s="276">
        <v>57</v>
      </c>
      <c r="AF28" s="276">
        <v>2</v>
      </c>
      <c r="AG28" s="82">
        <f t="shared" si="0"/>
        <v>3.5087719298245612E-2</v>
      </c>
      <c r="AH28" s="276">
        <v>8</v>
      </c>
      <c r="AI28" s="82">
        <f t="shared" si="1"/>
        <v>0.14035087719298245</v>
      </c>
      <c r="AJ28" s="155" t="str">
        <f t="shared" si="2"/>
        <v>OK</v>
      </c>
      <c r="AK28" t="s">
        <v>178</v>
      </c>
      <c r="AL28">
        <v>61</v>
      </c>
      <c r="AM28">
        <v>57</v>
      </c>
      <c r="AN28">
        <v>2</v>
      </c>
      <c r="AO28" s="217">
        <v>3.5087719298245612E-2</v>
      </c>
      <c r="AP28">
        <v>8</v>
      </c>
      <c r="AQ28" s="217">
        <v>0.14035087719298245</v>
      </c>
    </row>
    <row r="29" spans="1:43" x14ac:dyDescent="0.35">
      <c r="A29" s="16" t="s">
        <v>10</v>
      </c>
      <c r="B29" s="13">
        <v>123</v>
      </c>
      <c r="C29" s="13">
        <v>117</v>
      </c>
      <c r="D29" s="13">
        <v>2</v>
      </c>
      <c r="E29" s="26">
        <v>1.7094017094017096E-2</v>
      </c>
      <c r="F29" s="13">
        <v>3</v>
      </c>
      <c r="G29" s="26">
        <v>2.564102564102564E-2</v>
      </c>
      <c r="H29" s="13"/>
      <c r="I29" s="13">
        <v>120</v>
      </c>
      <c r="J29" s="13">
        <v>114</v>
      </c>
      <c r="K29" s="13">
        <v>5</v>
      </c>
      <c r="L29" s="26">
        <v>4.3859649122807015E-2</v>
      </c>
      <c r="M29" s="13">
        <v>1</v>
      </c>
      <c r="N29" s="26">
        <v>8.771929824561403E-3</v>
      </c>
      <c r="O29" s="13"/>
      <c r="P29" s="13">
        <v>121</v>
      </c>
      <c r="Q29" s="13">
        <v>118</v>
      </c>
      <c r="R29" s="13">
        <v>3</v>
      </c>
      <c r="S29" s="26">
        <v>2.5423728813559324E-2</v>
      </c>
      <c r="T29" s="13">
        <v>3</v>
      </c>
      <c r="U29" s="26">
        <v>2.5423728813559324E-2</v>
      </c>
      <c r="V29" s="13"/>
      <c r="W29" s="13">
        <v>116</v>
      </c>
      <c r="X29" s="13">
        <v>113</v>
      </c>
      <c r="Y29" s="13"/>
      <c r="Z29" s="26">
        <v>0</v>
      </c>
      <c r="AA29" s="13">
        <v>1</v>
      </c>
      <c r="AB29" s="26">
        <v>8.8495575221238937E-3</v>
      </c>
      <c r="AC29" s="13"/>
      <c r="AD29" s="276">
        <v>97</v>
      </c>
      <c r="AE29" s="276">
        <v>96</v>
      </c>
      <c r="AF29" s="276">
        <v>1</v>
      </c>
      <c r="AG29" s="82">
        <f t="shared" si="0"/>
        <v>1.0416666666666666E-2</v>
      </c>
      <c r="AH29" s="276">
        <v>4</v>
      </c>
      <c r="AI29" s="82">
        <f t="shared" si="1"/>
        <v>4.1666666666666664E-2</v>
      </c>
      <c r="AJ29" s="155" t="str">
        <f t="shared" si="2"/>
        <v>OK</v>
      </c>
      <c r="AK29" t="s">
        <v>10</v>
      </c>
      <c r="AL29">
        <v>97</v>
      </c>
      <c r="AM29">
        <v>96</v>
      </c>
      <c r="AN29">
        <v>1</v>
      </c>
      <c r="AO29" s="217">
        <v>1.0416666666666666E-2</v>
      </c>
      <c r="AP29">
        <v>4</v>
      </c>
      <c r="AQ29" s="217">
        <v>4.1666666666666664E-2</v>
      </c>
    </row>
    <row r="30" spans="1:43" x14ac:dyDescent="0.35">
      <c r="A30" s="16" t="s">
        <v>11</v>
      </c>
      <c r="B30" s="13">
        <v>79</v>
      </c>
      <c r="C30" s="13">
        <v>77</v>
      </c>
      <c r="D30" s="13">
        <v>2</v>
      </c>
      <c r="E30" s="26">
        <v>2.5974025974025976E-2</v>
      </c>
      <c r="F30" s="13">
        <v>7</v>
      </c>
      <c r="G30" s="26">
        <v>9.0909090909090912E-2</v>
      </c>
      <c r="H30" s="13"/>
      <c r="I30" s="13">
        <v>83</v>
      </c>
      <c r="J30" s="13">
        <v>79</v>
      </c>
      <c r="K30" s="13">
        <v>3</v>
      </c>
      <c r="L30" s="26">
        <v>3.7974683544303799E-2</v>
      </c>
      <c r="M30" s="13">
        <v>1</v>
      </c>
      <c r="N30" s="26">
        <v>1.2658227848101266E-2</v>
      </c>
      <c r="O30" s="13"/>
      <c r="P30" s="13">
        <v>87</v>
      </c>
      <c r="Q30" s="13">
        <v>83</v>
      </c>
      <c r="R30" s="13">
        <v>3</v>
      </c>
      <c r="S30" s="26">
        <v>3.614457831325301E-2</v>
      </c>
      <c r="T30" s="13">
        <v>3</v>
      </c>
      <c r="U30" s="26">
        <v>3.614457831325301E-2</v>
      </c>
      <c r="V30" s="13"/>
      <c r="W30" s="13">
        <v>83</v>
      </c>
      <c r="X30" s="13">
        <v>81</v>
      </c>
      <c r="Y30" s="13">
        <v>1</v>
      </c>
      <c r="Z30" s="26">
        <v>1.2345679012345678E-2</v>
      </c>
      <c r="AA30" s="13">
        <v>6</v>
      </c>
      <c r="AB30" s="26">
        <v>7.407407407407407E-2</v>
      </c>
      <c r="AC30" s="13"/>
      <c r="AD30" s="276">
        <v>69</v>
      </c>
      <c r="AE30" s="276">
        <v>68</v>
      </c>
      <c r="AF30" s="276">
        <v>4</v>
      </c>
      <c r="AG30" s="82">
        <f t="shared" si="0"/>
        <v>5.8823529411764705E-2</v>
      </c>
      <c r="AH30" s="276">
        <v>11</v>
      </c>
      <c r="AI30" s="82">
        <f t="shared" si="1"/>
        <v>0.16176470588235295</v>
      </c>
      <c r="AJ30" s="155" t="str">
        <f t="shared" si="2"/>
        <v>OK</v>
      </c>
      <c r="AK30" t="s">
        <v>11</v>
      </c>
      <c r="AL30">
        <v>69</v>
      </c>
      <c r="AM30">
        <v>68</v>
      </c>
      <c r="AN30">
        <v>4</v>
      </c>
      <c r="AO30" s="217">
        <v>5.8823529411764705E-2</v>
      </c>
      <c r="AP30">
        <v>11</v>
      </c>
      <c r="AQ30" s="217">
        <v>0.16176470588235295</v>
      </c>
    </row>
    <row r="31" spans="1:43" x14ac:dyDescent="0.35">
      <c r="A31" s="16" t="s">
        <v>12</v>
      </c>
      <c r="B31" s="13">
        <v>56</v>
      </c>
      <c r="C31" s="13">
        <v>50</v>
      </c>
      <c r="D31" s="13">
        <v>5</v>
      </c>
      <c r="E31" s="26">
        <v>0.1</v>
      </c>
      <c r="F31" s="13">
        <v>3</v>
      </c>
      <c r="G31" s="26">
        <v>0.06</v>
      </c>
      <c r="H31" s="13"/>
      <c r="I31" s="13">
        <v>54</v>
      </c>
      <c r="J31" s="13">
        <v>52</v>
      </c>
      <c r="K31" s="13">
        <v>0</v>
      </c>
      <c r="L31" s="26">
        <v>0</v>
      </c>
      <c r="M31" s="13">
        <v>0</v>
      </c>
      <c r="N31" s="26">
        <v>0</v>
      </c>
      <c r="O31" s="13"/>
      <c r="P31" s="13">
        <v>52</v>
      </c>
      <c r="Q31" s="13">
        <v>50</v>
      </c>
      <c r="R31" s="13"/>
      <c r="S31" s="26">
        <v>0</v>
      </c>
      <c r="T31" s="13"/>
      <c r="U31" s="26">
        <v>0</v>
      </c>
      <c r="V31" s="13"/>
      <c r="W31" s="13">
        <v>49</v>
      </c>
      <c r="X31" s="13">
        <v>49</v>
      </c>
      <c r="Y31" s="13">
        <v>1</v>
      </c>
      <c r="Z31" s="26">
        <v>2.0408163265306121E-2</v>
      </c>
      <c r="AA31" s="13">
        <v>1</v>
      </c>
      <c r="AB31" s="26">
        <v>2.0408163265306121E-2</v>
      </c>
      <c r="AC31" s="13"/>
      <c r="AD31" s="276">
        <v>41</v>
      </c>
      <c r="AE31" s="276">
        <v>39</v>
      </c>
      <c r="AF31" s="276">
        <v>1</v>
      </c>
      <c r="AG31" s="82">
        <f t="shared" si="0"/>
        <v>2.564102564102564E-2</v>
      </c>
      <c r="AH31" s="276">
        <v>5</v>
      </c>
      <c r="AI31" s="82">
        <f t="shared" si="1"/>
        <v>0.12820512820512819</v>
      </c>
      <c r="AJ31" s="155" t="str">
        <f t="shared" si="2"/>
        <v>OK</v>
      </c>
      <c r="AK31" t="s">
        <v>12</v>
      </c>
      <c r="AL31">
        <v>41</v>
      </c>
      <c r="AM31">
        <v>39</v>
      </c>
      <c r="AN31">
        <v>1</v>
      </c>
      <c r="AO31" s="217">
        <v>2.564102564102564E-2</v>
      </c>
      <c r="AP31">
        <v>5</v>
      </c>
      <c r="AQ31" s="217">
        <v>0.12820512820512819</v>
      </c>
    </row>
    <row r="32" spans="1:43" x14ac:dyDescent="0.35">
      <c r="A32" s="16" t="s">
        <v>13</v>
      </c>
      <c r="B32" s="13">
        <v>18</v>
      </c>
      <c r="C32" s="13">
        <v>17</v>
      </c>
      <c r="D32" s="13">
        <v>0</v>
      </c>
      <c r="E32" s="26">
        <v>0</v>
      </c>
      <c r="F32" s="13">
        <v>0</v>
      </c>
      <c r="G32" s="26">
        <v>0</v>
      </c>
      <c r="H32" s="13"/>
      <c r="I32" s="13">
        <v>21</v>
      </c>
      <c r="J32" s="13">
        <v>20</v>
      </c>
      <c r="K32" s="13">
        <v>0</v>
      </c>
      <c r="L32" s="26">
        <v>0</v>
      </c>
      <c r="M32" s="13">
        <v>0</v>
      </c>
      <c r="N32" s="26">
        <v>0</v>
      </c>
      <c r="O32" s="13"/>
      <c r="P32" s="13">
        <v>24</v>
      </c>
      <c r="Q32" s="13">
        <v>23</v>
      </c>
      <c r="R32" s="13"/>
      <c r="S32" s="26">
        <v>0</v>
      </c>
      <c r="T32" s="13"/>
      <c r="U32" s="26">
        <v>0</v>
      </c>
      <c r="V32" s="13"/>
      <c r="W32" s="13">
        <v>27</v>
      </c>
      <c r="X32" s="13">
        <v>25</v>
      </c>
      <c r="Y32" s="13"/>
      <c r="Z32" s="26">
        <v>0</v>
      </c>
      <c r="AA32" s="13"/>
      <c r="AB32" s="26">
        <v>0</v>
      </c>
      <c r="AC32" s="13"/>
      <c r="AD32" s="276">
        <v>25</v>
      </c>
      <c r="AE32" s="276">
        <v>25</v>
      </c>
      <c r="AF32" s="276">
        <v>2</v>
      </c>
      <c r="AG32" s="82">
        <f t="shared" si="0"/>
        <v>0.08</v>
      </c>
      <c r="AH32" s="276">
        <v>2</v>
      </c>
      <c r="AI32" s="82">
        <f t="shared" si="1"/>
        <v>0.08</v>
      </c>
      <c r="AJ32" s="155" t="str">
        <f t="shared" si="2"/>
        <v>OK</v>
      </c>
      <c r="AK32" t="s">
        <v>13</v>
      </c>
      <c r="AL32">
        <v>25</v>
      </c>
      <c r="AM32">
        <v>25</v>
      </c>
      <c r="AN32">
        <v>2</v>
      </c>
      <c r="AO32" s="217">
        <v>0.08</v>
      </c>
      <c r="AP32">
        <v>2</v>
      </c>
      <c r="AQ32" s="217">
        <v>0.08</v>
      </c>
    </row>
    <row r="33" spans="1:43" x14ac:dyDescent="0.35">
      <c r="A33" s="16" t="s">
        <v>343</v>
      </c>
      <c r="B33" s="13">
        <v>75</v>
      </c>
      <c r="C33" s="13">
        <v>71</v>
      </c>
      <c r="D33" s="13">
        <v>5</v>
      </c>
      <c r="E33" s="26">
        <v>7.0422535211267609E-2</v>
      </c>
      <c r="F33" s="13">
        <v>2</v>
      </c>
      <c r="G33" s="26">
        <v>2.8169014084507043E-2</v>
      </c>
      <c r="H33" s="13"/>
      <c r="I33" s="13">
        <v>74</v>
      </c>
      <c r="J33" s="13">
        <v>70</v>
      </c>
      <c r="K33" s="13">
        <v>3</v>
      </c>
      <c r="L33" s="26">
        <v>4.2857142857142858E-2</v>
      </c>
      <c r="M33" s="13">
        <v>2</v>
      </c>
      <c r="N33" s="26">
        <v>2.8571428571428571E-2</v>
      </c>
      <c r="O33" s="13"/>
      <c r="P33" s="13">
        <v>76</v>
      </c>
      <c r="Q33" s="13">
        <v>74</v>
      </c>
      <c r="R33" s="13">
        <v>3</v>
      </c>
      <c r="S33" s="26">
        <v>4.0540540540540543E-2</v>
      </c>
      <c r="T33" s="13">
        <v>4</v>
      </c>
      <c r="U33" s="26">
        <v>5.4054054054054057E-2</v>
      </c>
      <c r="V33" s="13"/>
      <c r="W33" s="13">
        <v>78</v>
      </c>
      <c r="X33" s="13">
        <v>71</v>
      </c>
      <c r="Y33" s="13">
        <v>3</v>
      </c>
      <c r="Z33" s="26">
        <v>4.2253521126760563E-2</v>
      </c>
      <c r="AA33" s="13">
        <v>1</v>
      </c>
      <c r="AB33" s="26">
        <v>1.4084507042253521E-2</v>
      </c>
      <c r="AC33" s="13"/>
      <c r="AD33" s="276">
        <v>60</v>
      </c>
      <c r="AE33" s="276">
        <v>60</v>
      </c>
      <c r="AF33" s="276">
        <v>5</v>
      </c>
      <c r="AG33" s="82">
        <f t="shared" si="0"/>
        <v>8.3333333333333329E-2</v>
      </c>
      <c r="AH33" s="276">
        <v>11</v>
      </c>
      <c r="AI33" s="82">
        <f t="shared" si="1"/>
        <v>0.18333333333333332</v>
      </c>
      <c r="AJ33" s="155" t="str">
        <f t="shared" si="2"/>
        <v>OK</v>
      </c>
      <c r="AK33" t="s">
        <v>343</v>
      </c>
      <c r="AL33">
        <v>60</v>
      </c>
      <c r="AM33">
        <v>60</v>
      </c>
      <c r="AN33">
        <v>5</v>
      </c>
      <c r="AO33" s="217">
        <v>8.3333333333333329E-2</v>
      </c>
      <c r="AP33">
        <v>11</v>
      </c>
      <c r="AQ33" s="217">
        <v>0.18333333333333332</v>
      </c>
    </row>
    <row r="34" spans="1:43" x14ac:dyDescent="0.35">
      <c r="A34" s="16" t="s">
        <v>14</v>
      </c>
      <c r="B34" s="13">
        <v>39</v>
      </c>
      <c r="C34" s="13">
        <v>37</v>
      </c>
      <c r="D34" s="13">
        <v>1</v>
      </c>
      <c r="E34" s="26">
        <v>2.7027027027027029E-2</v>
      </c>
      <c r="F34" s="13">
        <v>0</v>
      </c>
      <c r="G34" s="26">
        <v>0</v>
      </c>
      <c r="H34" s="13"/>
      <c r="I34" s="13">
        <v>41</v>
      </c>
      <c r="J34" s="13">
        <v>35</v>
      </c>
      <c r="K34" s="13">
        <v>2</v>
      </c>
      <c r="L34" s="26">
        <v>5.7142857142857141E-2</v>
      </c>
      <c r="M34" s="13">
        <v>0</v>
      </c>
      <c r="N34" s="26">
        <v>0</v>
      </c>
      <c r="O34" s="13"/>
      <c r="P34" s="13">
        <v>40</v>
      </c>
      <c r="Q34" s="13">
        <v>40</v>
      </c>
      <c r="R34" s="13">
        <v>2</v>
      </c>
      <c r="S34" s="26">
        <v>0.05</v>
      </c>
      <c r="T34" s="13"/>
      <c r="U34" s="26">
        <v>0</v>
      </c>
      <c r="V34" s="13"/>
      <c r="W34" s="13">
        <v>35</v>
      </c>
      <c r="X34" s="13">
        <v>33</v>
      </c>
      <c r="Y34" s="13">
        <v>2</v>
      </c>
      <c r="Z34" s="26">
        <v>6.0606060606060608E-2</v>
      </c>
      <c r="AA34" s="13"/>
      <c r="AB34" s="26">
        <v>0</v>
      </c>
      <c r="AC34" s="13"/>
      <c r="AD34" s="276">
        <v>35</v>
      </c>
      <c r="AE34" s="276">
        <v>35</v>
      </c>
      <c r="AF34" s="276">
        <v>4</v>
      </c>
      <c r="AG34" s="82">
        <f t="shared" si="0"/>
        <v>0.11428571428571428</v>
      </c>
      <c r="AH34" s="276">
        <v>5</v>
      </c>
      <c r="AI34" s="82">
        <f t="shared" si="1"/>
        <v>0.14285714285714285</v>
      </c>
      <c r="AJ34" s="155" t="str">
        <f t="shared" si="2"/>
        <v>OK</v>
      </c>
      <c r="AK34" t="s">
        <v>14</v>
      </c>
      <c r="AL34">
        <v>35</v>
      </c>
      <c r="AM34">
        <v>35</v>
      </c>
      <c r="AN34">
        <v>4</v>
      </c>
      <c r="AO34" s="217">
        <v>0.11428571428571428</v>
      </c>
      <c r="AP34">
        <v>5</v>
      </c>
      <c r="AQ34" s="217">
        <v>0.14285714285714285</v>
      </c>
    </row>
    <row r="35" spans="1:43" x14ac:dyDescent="0.35">
      <c r="A35" s="16" t="s">
        <v>15</v>
      </c>
      <c r="B35" s="13">
        <v>200</v>
      </c>
      <c r="C35" s="13">
        <v>188</v>
      </c>
      <c r="D35" s="13">
        <v>21</v>
      </c>
      <c r="E35" s="26">
        <v>0.11170212765957446</v>
      </c>
      <c r="F35" s="13">
        <v>5</v>
      </c>
      <c r="G35" s="26">
        <v>2.6595744680851064E-2</v>
      </c>
      <c r="H35" s="13"/>
      <c r="I35" s="13">
        <v>199</v>
      </c>
      <c r="J35" s="13">
        <v>186</v>
      </c>
      <c r="K35" s="13">
        <v>20</v>
      </c>
      <c r="L35" s="26">
        <v>0.10752688172043011</v>
      </c>
      <c r="M35" s="13">
        <v>4</v>
      </c>
      <c r="N35" s="26">
        <v>2.1505376344086023E-2</v>
      </c>
      <c r="O35" s="13"/>
      <c r="P35" s="13">
        <v>202</v>
      </c>
      <c r="Q35" s="13">
        <v>192</v>
      </c>
      <c r="R35" s="13">
        <v>8</v>
      </c>
      <c r="S35" s="26">
        <v>4.1666666666666664E-2</v>
      </c>
      <c r="T35" s="13">
        <v>5</v>
      </c>
      <c r="U35" s="26">
        <v>2.6041666666666668E-2</v>
      </c>
      <c r="V35" s="13"/>
      <c r="W35" s="13">
        <v>183</v>
      </c>
      <c r="X35" s="13">
        <v>175</v>
      </c>
      <c r="Y35" s="13">
        <v>1</v>
      </c>
      <c r="Z35" s="26">
        <v>5.7142857142857143E-3</v>
      </c>
      <c r="AA35" s="13">
        <v>4</v>
      </c>
      <c r="AB35" s="26">
        <v>2.2857142857142857E-2</v>
      </c>
      <c r="AC35" s="13"/>
      <c r="AD35" s="276">
        <v>162</v>
      </c>
      <c r="AE35" s="276">
        <v>149</v>
      </c>
      <c r="AF35" s="276">
        <v>3</v>
      </c>
      <c r="AG35" s="82">
        <f t="shared" si="0"/>
        <v>2.0134228187919462E-2</v>
      </c>
      <c r="AH35" s="276">
        <v>17</v>
      </c>
      <c r="AI35" s="82">
        <f t="shared" si="1"/>
        <v>0.11409395973154363</v>
      </c>
      <c r="AJ35" s="155" t="str">
        <f t="shared" si="2"/>
        <v>OK</v>
      </c>
      <c r="AK35" t="s">
        <v>15</v>
      </c>
      <c r="AL35">
        <v>162</v>
      </c>
      <c r="AM35">
        <v>149</v>
      </c>
      <c r="AN35">
        <v>3</v>
      </c>
      <c r="AO35" s="217">
        <v>2.0134228187919462E-2</v>
      </c>
      <c r="AP35">
        <v>17</v>
      </c>
      <c r="AQ35" s="217">
        <v>0.11409395973154363</v>
      </c>
    </row>
    <row r="36" spans="1:43" x14ac:dyDescent="0.35">
      <c r="A36" s="16" t="s">
        <v>16</v>
      </c>
      <c r="B36" s="13">
        <v>15</v>
      </c>
      <c r="C36" s="13">
        <v>13</v>
      </c>
      <c r="D36" s="13">
        <v>0</v>
      </c>
      <c r="E36" s="26">
        <v>0</v>
      </c>
      <c r="F36" s="13">
        <v>0</v>
      </c>
      <c r="G36" s="26">
        <v>0</v>
      </c>
      <c r="H36" s="13"/>
      <c r="I36" s="13">
        <v>17</v>
      </c>
      <c r="J36" s="13">
        <v>16</v>
      </c>
      <c r="K36" s="13">
        <v>0</v>
      </c>
      <c r="L36" s="26">
        <v>0</v>
      </c>
      <c r="M36" s="13">
        <v>0</v>
      </c>
      <c r="N36" s="26">
        <v>0</v>
      </c>
      <c r="O36" s="13"/>
      <c r="P36" s="13">
        <v>19</v>
      </c>
      <c r="Q36" s="13">
        <v>17</v>
      </c>
      <c r="R36" s="13"/>
      <c r="S36" s="26">
        <v>0</v>
      </c>
      <c r="T36" s="13"/>
      <c r="U36" s="26">
        <v>0</v>
      </c>
      <c r="V36" s="13"/>
      <c r="W36" s="13">
        <v>22</v>
      </c>
      <c r="X36" s="13">
        <v>20</v>
      </c>
      <c r="Y36" s="13"/>
      <c r="Z36" s="26">
        <v>0</v>
      </c>
      <c r="AA36" s="13"/>
      <c r="AB36" s="26">
        <v>0</v>
      </c>
      <c r="AC36" s="13"/>
      <c r="AD36" s="276">
        <v>21</v>
      </c>
      <c r="AE36" s="276">
        <v>19</v>
      </c>
      <c r="AF36" s="276"/>
      <c r="AG36" s="82">
        <f t="shared" si="0"/>
        <v>0</v>
      </c>
      <c r="AH36" s="276"/>
      <c r="AI36" s="82">
        <f t="shared" si="1"/>
        <v>0</v>
      </c>
      <c r="AJ36" s="155" t="str">
        <f t="shared" si="2"/>
        <v>OK</v>
      </c>
      <c r="AK36" t="s">
        <v>16</v>
      </c>
      <c r="AL36">
        <v>21</v>
      </c>
      <c r="AM36">
        <v>19</v>
      </c>
      <c r="AO36" s="217">
        <v>0</v>
      </c>
      <c r="AQ36" s="217">
        <v>0</v>
      </c>
    </row>
    <row r="37" spans="1:43" x14ac:dyDescent="0.35">
      <c r="A37" s="16" t="s">
        <v>344</v>
      </c>
      <c r="B37" s="13">
        <v>2</v>
      </c>
      <c r="C37" s="13">
        <v>2</v>
      </c>
      <c r="D37" s="13">
        <v>0</v>
      </c>
      <c r="E37" s="26">
        <v>0</v>
      </c>
      <c r="F37" s="13">
        <v>0</v>
      </c>
      <c r="G37" s="26">
        <v>0</v>
      </c>
      <c r="H37" s="13"/>
      <c r="I37" s="13">
        <v>3</v>
      </c>
      <c r="J37" s="13">
        <v>3</v>
      </c>
      <c r="K37" s="13">
        <v>0</v>
      </c>
      <c r="L37" s="26">
        <v>0</v>
      </c>
      <c r="M37" s="13">
        <v>1</v>
      </c>
      <c r="N37" s="26">
        <v>0.33333333333333331</v>
      </c>
      <c r="O37" s="13"/>
      <c r="P37" s="13">
        <v>3</v>
      </c>
      <c r="Q37" s="13">
        <v>3</v>
      </c>
      <c r="R37" s="13"/>
      <c r="S37" s="26">
        <v>0</v>
      </c>
      <c r="T37" s="13">
        <v>1</v>
      </c>
      <c r="U37" s="26">
        <v>0.33333333333333331</v>
      </c>
      <c r="V37" s="13"/>
      <c r="W37" s="13">
        <v>3</v>
      </c>
      <c r="X37" s="13">
        <v>3</v>
      </c>
      <c r="Y37" s="13"/>
      <c r="Z37" s="26">
        <v>0</v>
      </c>
      <c r="AA37" s="13"/>
      <c r="AB37" s="26">
        <v>0</v>
      </c>
      <c r="AC37" s="13"/>
      <c r="AD37" s="276">
        <v>3</v>
      </c>
      <c r="AE37" s="276">
        <v>3</v>
      </c>
      <c r="AF37" s="276"/>
      <c r="AG37" s="82">
        <f t="shared" si="0"/>
        <v>0</v>
      </c>
      <c r="AH37" s="276"/>
      <c r="AI37" s="82">
        <f t="shared" si="1"/>
        <v>0</v>
      </c>
      <c r="AJ37" s="155" t="str">
        <f t="shared" si="2"/>
        <v>OK</v>
      </c>
      <c r="AK37" t="s">
        <v>344</v>
      </c>
      <c r="AL37">
        <v>3</v>
      </c>
      <c r="AM37">
        <v>3</v>
      </c>
      <c r="AO37" s="217">
        <v>0</v>
      </c>
      <c r="AQ37" s="217">
        <v>0</v>
      </c>
    </row>
    <row r="38" spans="1:43" x14ac:dyDescent="0.35">
      <c r="A38" s="16" t="s">
        <v>17</v>
      </c>
      <c r="B38" s="13">
        <v>62</v>
      </c>
      <c r="C38" s="13">
        <v>60</v>
      </c>
      <c r="D38" s="13">
        <v>0</v>
      </c>
      <c r="E38" s="26">
        <v>0</v>
      </c>
      <c r="F38" s="13">
        <v>1</v>
      </c>
      <c r="G38" s="26">
        <v>1.6666666666666666E-2</v>
      </c>
      <c r="H38" s="13"/>
      <c r="I38" s="13">
        <v>61</v>
      </c>
      <c r="J38" s="13">
        <v>60</v>
      </c>
      <c r="K38" s="13">
        <v>1</v>
      </c>
      <c r="L38" s="26">
        <v>1.6666666666666666E-2</v>
      </c>
      <c r="M38" s="13">
        <v>1</v>
      </c>
      <c r="N38" s="26">
        <v>1.6666666666666666E-2</v>
      </c>
      <c r="O38" s="13"/>
      <c r="P38" s="13">
        <v>66</v>
      </c>
      <c r="Q38" s="13">
        <v>64</v>
      </c>
      <c r="R38" s="13">
        <v>2</v>
      </c>
      <c r="S38" s="26">
        <v>3.125E-2</v>
      </c>
      <c r="T38" s="13"/>
      <c r="U38" s="26">
        <v>0</v>
      </c>
      <c r="V38" s="13"/>
      <c r="W38" s="13">
        <v>65</v>
      </c>
      <c r="X38" s="13">
        <v>61</v>
      </c>
      <c r="Y38" s="13">
        <v>3</v>
      </c>
      <c r="Z38" s="26">
        <v>4.9180327868852458E-2</v>
      </c>
      <c r="AA38" s="13"/>
      <c r="AB38" s="26">
        <v>0</v>
      </c>
      <c r="AC38" s="13"/>
      <c r="AD38" s="276">
        <v>58</v>
      </c>
      <c r="AE38" s="276">
        <v>57</v>
      </c>
      <c r="AF38" s="276">
        <v>6</v>
      </c>
      <c r="AG38" s="82">
        <f t="shared" si="0"/>
        <v>0.10526315789473684</v>
      </c>
      <c r="AH38" s="276">
        <v>2</v>
      </c>
      <c r="AI38" s="82">
        <f t="shared" si="1"/>
        <v>3.5087719298245612E-2</v>
      </c>
      <c r="AJ38" s="155" t="str">
        <f t="shared" si="2"/>
        <v>OK</v>
      </c>
      <c r="AK38" t="s">
        <v>17</v>
      </c>
      <c r="AL38">
        <v>58</v>
      </c>
      <c r="AM38">
        <v>57</v>
      </c>
      <c r="AN38">
        <v>6</v>
      </c>
      <c r="AO38" s="217">
        <v>0.10526315789473684</v>
      </c>
      <c r="AP38">
        <v>2</v>
      </c>
      <c r="AQ38" s="217">
        <v>3.5087719298245612E-2</v>
      </c>
    </row>
    <row r="39" spans="1:43" x14ac:dyDescent="0.35">
      <c r="A39" s="16" t="s">
        <v>358</v>
      </c>
      <c r="B39" s="13">
        <v>143</v>
      </c>
      <c r="C39" s="13">
        <v>125</v>
      </c>
      <c r="D39" s="13">
        <v>2</v>
      </c>
      <c r="E39" s="26">
        <v>1.6E-2</v>
      </c>
      <c r="F39" s="13">
        <v>2</v>
      </c>
      <c r="G39" s="26">
        <v>1.6E-2</v>
      </c>
      <c r="H39" s="13"/>
      <c r="I39" s="13">
        <v>137</v>
      </c>
      <c r="J39" s="13">
        <v>125</v>
      </c>
      <c r="K39" s="13">
        <v>0</v>
      </c>
      <c r="L39" s="26">
        <v>0</v>
      </c>
      <c r="M39" s="13">
        <v>7</v>
      </c>
      <c r="N39" s="26">
        <v>5.6000000000000001E-2</v>
      </c>
      <c r="O39" s="13"/>
      <c r="P39" s="13">
        <v>98</v>
      </c>
      <c r="Q39" s="13">
        <v>92</v>
      </c>
      <c r="R39" s="13"/>
      <c r="S39" s="26">
        <v>0</v>
      </c>
      <c r="T39" s="13">
        <v>5</v>
      </c>
      <c r="U39" s="26">
        <v>5.434782608695652E-2</v>
      </c>
      <c r="V39" s="13"/>
      <c r="W39" s="13">
        <v>94</v>
      </c>
      <c r="X39" s="13">
        <v>89</v>
      </c>
      <c r="Y39" s="13"/>
      <c r="Z39" s="26">
        <v>0</v>
      </c>
      <c r="AA39" s="13">
        <v>4</v>
      </c>
      <c r="AB39" s="26">
        <v>4.49438202247191E-2</v>
      </c>
      <c r="AC39" s="13"/>
      <c r="AD39" s="276">
        <v>51</v>
      </c>
      <c r="AE39" s="276">
        <v>50</v>
      </c>
      <c r="AF39" s="276"/>
      <c r="AG39" s="82">
        <f t="shared" si="0"/>
        <v>0</v>
      </c>
      <c r="AH39" s="276">
        <v>8</v>
      </c>
      <c r="AI39" s="82">
        <f t="shared" si="1"/>
        <v>0.16</v>
      </c>
      <c r="AJ39" s="155" t="str">
        <f t="shared" si="2"/>
        <v>OK</v>
      </c>
      <c r="AK39" t="s">
        <v>358</v>
      </c>
      <c r="AL39">
        <v>51</v>
      </c>
      <c r="AM39">
        <v>50</v>
      </c>
      <c r="AO39" s="217">
        <v>0</v>
      </c>
      <c r="AP39">
        <v>8</v>
      </c>
      <c r="AQ39" s="217">
        <v>0.16</v>
      </c>
    </row>
    <row r="40" spans="1:43" x14ac:dyDescent="0.35">
      <c r="A40" s="16" t="s">
        <v>25</v>
      </c>
      <c r="B40" s="13">
        <v>41</v>
      </c>
      <c r="C40" s="13">
        <v>39</v>
      </c>
      <c r="D40" s="13">
        <v>1</v>
      </c>
      <c r="E40" s="26">
        <v>2.564102564102564E-2</v>
      </c>
      <c r="F40" s="13">
        <v>0</v>
      </c>
      <c r="G40" s="26">
        <v>0</v>
      </c>
      <c r="H40" s="13"/>
      <c r="I40" s="13">
        <v>40</v>
      </c>
      <c r="J40" s="13">
        <v>40</v>
      </c>
      <c r="K40" s="13">
        <v>2</v>
      </c>
      <c r="L40" s="26">
        <v>0.05</v>
      </c>
      <c r="M40" s="13">
        <v>0</v>
      </c>
      <c r="N40" s="26">
        <v>0</v>
      </c>
      <c r="O40" s="13"/>
      <c r="P40" s="13">
        <v>42</v>
      </c>
      <c r="Q40" s="13">
        <v>38</v>
      </c>
      <c r="R40" s="13">
        <v>2</v>
      </c>
      <c r="S40" s="26">
        <v>5.2631578947368418E-2</v>
      </c>
      <c r="T40" s="13">
        <v>1</v>
      </c>
      <c r="U40" s="26">
        <v>2.6315789473684209E-2</v>
      </c>
      <c r="V40" s="13"/>
      <c r="W40" s="13">
        <v>46</v>
      </c>
      <c r="X40" s="13">
        <v>43</v>
      </c>
      <c r="Y40" s="13">
        <v>1</v>
      </c>
      <c r="Z40" s="26">
        <v>2.3255813953488372E-2</v>
      </c>
      <c r="AA40" s="13"/>
      <c r="AB40" s="26">
        <v>0</v>
      </c>
      <c r="AC40" s="13"/>
      <c r="AD40" s="276">
        <v>39</v>
      </c>
      <c r="AE40" s="276">
        <v>39</v>
      </c>
      <c r="AF40" s="276">
        <v>3</v>
      </c>
      <c r="AG40" s="82">
        <f t="shared" si="0"/>
        <v>7.6923076923076927E-2</v>
      </c>
      <c r="AH40" s="276">
        <v>7</v>
      </c>
      <c r="AI40" s="82">
        <f t="shared" si="1"/>
        <v>0.17948717948717949</v>
      </c>
      <c r="AJ40" s="155" t="str">
        <f t="shared" si="2"/>
        <v>OK</v>
      </c>
      <c r="AK40" t="s">
        <v>25</v>
      </c>
      <c r="AL40">
        <v>39</v>
      </c>
      <c r="AM40">
        <v>39</v>
      </c>
      <c r="AN40">
        <v>3</v>
      </c>
      <c r="AO40" s="217">
        <v>7.6923076923076927E-2</v>
      </c>
      <c r="AP40">
        <v>7</v>
      </c>
      <c r="AQ40" s="217">
        <v>0.17948717948717949</v>
      </c>
    </row>
    <row r="41" spans="1:43" x14ac:dyDescent="0.35">
      <c r="A41" s="16" t="s">
        <v>18</v>
      </c>
      <c r="B41" s="13">
        <v>92</v>
      </c>
      <c r="C41" s="13">
        <v>83</v>
      </c>
      <c r="D41" s="13">
        <v>2</v>
      </c>
      <c r="E41" s="26">
        <v>2.4096385542168676E-2</v>
      </c>
      <c r="F41" s="13">
        <v>2</v>
      </c>
      <c r="G41" s="26">
        <v>2.4096385542168676E-2</v>
      </c>
      <c r="H41" s="13"/>
      <c r="I41" s="13">
        <v>91</v>
      </c>
      <c r="J41" s="13">
        <v>87</v>
      </c>
      <c r="K41" s="13">
        <v>3</v>
      </c>
      <c r="L41" s="26">
        <v>3.4482758620689655E-2</v>
      </c>
      <c r="M41" s="13">
        <v>3</v>
      </c>
      <c r="N41" s="26">
        <v>3.4482758620689655E-2</v>
      </c>
      <c r="O41" s="13"/>
      <c r="P41" s="13">
        <v>95</v>
      </c>
      <c r="Q41" s="13">
        <v>90</v>
      </c>
      <c r="R41" s="13">
        <v>2</v>
      </c>
      <c r="S41" s="26">
        <v>2.2222222222222223E-2</v>
      </c>
      <c r="T41" s="13">
        <v>6</v>
      </c>
      <c r="U41" s="26">
        <v>6.6666666666666666E-2</v>
      </c>
      <c r="V41" s="13"/>
      <c r="W41" s="13">
        <v>99</v>
      </c>
      <c r="X41" s="13">
        <v>95</v>
      </c>
      <c r="Y41" s="13">
        <v>4</v>
      </c>
      <c r="Z41" s="26">
        <v>4.2105263157894736E-2</v>
      </c>
      <c r="AA41" s="13">
        <v>6</v>
      </c>
      <c r="AB41" s="26">
        <v>6.3157894736842107E-2</v>
      </c>
      <c r="AC41" s="13"/>
      <c r="AD41" s="276">
        <v>79</v>
      </c>
      <c r="AE41" s="276">
        <v>79</v>
      </c>
      <c r="AF41" s="276">
        <v>6</v>
      </c>
      <c r="AG41" s="82">
        <f t="shared" si="0"/>
        <v>7.5949367088607597E-2</v>
      </c>
      <c r="AH41" s="276">
        <v>20</v>
      </c>
      <c r="AI41" s="82">
        <f t="shared" si="1"/>
        <v>0.25316455696202533</v>
      </c>
      <c r="AJ41" s="155" t="str">
        <f t="shared" si="2"/>
        <v>OK</v>
      </c>
      <c r="AK41" t="s">
        <v>18</v>
      </c>
      <c r="AL41">
        <v>79</v>
      </c>
      <c r="AM41">
        <v>79</v>
      </c>
      <c r="AN41">
        <v>6</v>
      </c>
      <c r="AO41" s="217">
        <v>7.5949367088607597E-2</v>
      </c>
      <c r="AP41">
        <v>20</v>
      </c>
      <c r="AQ41" s="217">
        <v>0.25316455696202533</v>
      </c>
    </row>
    <row r="42" spans="1:43" x14ac:dyDescent="0.35">
      <c r="A42" s="16" t="s">
        <v>353</v>
      </c>
      <c r="B42" s="13">
        <v>302</v>
      </c>
      <c r="C42" s="13">
        <v>265</v>
      </c>
      <c r="D42" s="13">
        <v>13</v>
      </c>
      <c r="E42" s="26">
        <v>4.9056603773584909E-2</v>
      </c>
      <c r="F42" s="13">
        <v>8</v>
      </c>
      <c r="G42" s="26">
        <v>3.0188679245283019E-2</v>
      </c>
      <c r="H42" s="13"/>
      <c r="I42" s="13">
        <v>281</v>
      </c>
      <c r="J42" s="13">
        <v>261</v>
      </c>
      <c r="K42" s="13">
        <v>3</v>
      </c>
      <c r="L42" s="26">
        <v>1.1494252873563218E-2</v>
      </c>
      <c r="M42" s="13">
        <v>1</v>
      </c>
      <c r="N42" s="26">
        <v>3.8314176245210726E-3</v>
      </c>
      <c r="O42" s="13"/>
      <c r="P42" s="13">
        <v>288</v>
      </c>
      <c r="Q42" s="13">
        <v>270</v>
      </c>
      <c r="R42" s="13">
        <v>4</v>
      </c>
      <c r="S42" s="26">
        <v>1.4814814814814815E-2</v>
      </c>
      <c r="T42" s="13">
        <v>6</v>
      </c>
      <c r="U42" s="26">
        <v>2.2222222222222223E-2</v>
      </c>
      <c r="V42" s="13"/>
      <c r="W42" s="13">
        <v>281</v>
      </c>
      <c r="X42" s="13">
        <v>266</v>
      </c>
      <c r="Y42" s="13">
        <v>3</v>
      </c>
      <c r="Z42" s="26">
        <v>1.1278195488721804E-2</v>
      </c>
      <c r="AA42" s="13">
        <v>8</v>
      </c>
      <c r="AB42" s="26">
        <v>3.007518796992481E-2</v>
      </c>
      <c r="AC42" s="13"/>
      <c r="AD42" s="276">
        <v>205</v>
      </c>
      <c r="AE42" s="276">
        <v>200</v>
      </c>
      <c r="AF42" s="276">
        <v>2</v>
      </c>
      <c r="AG42" s="82">
        <f t="shared" si="0"/>
        <v>0.01</v>
      </c>
      <c r="AH42" s="276">
        <v>26</v>
      </c>
      <c r="AI42" s="82">
        <f t="shared" si="1"/>
        <v>0.13</v>
      </c>
      <c r="AJ42" s="155" t="str">
        <f t="shared" si="2"/>
        <v>No</v>
      </c>
      <c r="AK42" t="s">
        <v>34</v>
      </c>
      <c r="AL42">
        <v>205</v>
      </c>
      <c r="AM42">
        <v>200</v>
      </c>
      <c r="AN42">
        <v>2</v>
      </c>
      <c r="AO42" s="217">
        <v>0.01</v>
      </c>
      <c r="AP42">
        <v>26</v>
      </c>
      <c r="AQ42" s="217">
        <v>0.13</v>
      </c>
    </row>
    <row r="43" spans="1:43" x14ac:dyDescent="0.35">
      <c r="A43" s="16" t="s">
        <v>354</v>
      </c>
      <c r="B43" s="13">
        <v>201</v>
      </c>
      <c r="C43" s="13">
        <v>179</v>
      </c>
      <c r="D43" s="13">
        <v>10</v>
      </c>
      <c r="E43" s="26">
        <v>5.5865921787709494E-2</v>
      </c>
      <c r="F43" s="13">
        <v>1</v>
      </c>
      <c r="G43" s="26">
        <v>5.5865921787709499E-3</v>
      </c>
      <c r="H43" s="13"/>
      <c r="I43" s="13">
        <v>180</v>
      </c>
      <c r="J43" s="13">
        <v>171</v>
      </c>
      <c r="K43" s="13">
        <v>6</v>
      </c>
      <c r="L43" s="26">
        <v>3.5087719298245612E-2</v>
      </c>
      <c r="M43" s="13">
        <v>1</v>
      </c>
      <c r="N43" s="26">
        <v>5.8479532163742687E-3</v>
      </c>
      <c r="O43" s="13"/>
      <c r="P43" s="13">
        <v>187</v>
      </c>
      <c r="Q43" s="13">
        <v>168</v>
      </c>
      <c r="R43" s="13">
        <v>6</v>
      </c>
      <c r="S43" s="26">
        <v>3.5714285714285712E-2</v>
      </c>
      <c r="T43" s="13">
        <v>4</v>
      </c>
      <c r="U43" s="26">
        <v>2.3809523809523808E-2</v>
      </c>
      <c r="V43" s="13"/>
      <c r="W43" s="13">
        <v>179</v>
      </c>
      <c r="X43" s="13">
        <v>171</v>
      </c>
      <c r="Y43" s="13"/>
      <c r="Z43" s="26">
        <v>0</v>
      </c>
      <c r="AA43" s="13">
        <v>3</v>
      </c>
      <c r="AB43" s="26">
        <v>1.7543859649122806E-2</v>
      </c>
      <c r="AC43" s="13"/>
      <c r="AD43" s="276">
        <v>146</v>
      </c>
      <c r="AE43" s="276">
        <v>135</v>
      </c>
      <c r="AF43" s="276">
        <v>1</v>
      </c>
      <c r="AG43" s="82">
        <f t="shared" si="0"/>
        <v>7.4074074074074077E-3</v>
      </c>
      <c r="AH43" s="276">
        <v>23</v>
      </c>
      <c r="AI43" s="82">
        <f t="shared" si="1"/>
        <v>0.17037037037037037</v>
      </c>
      <c r="AJ43" s="155" t="str">
        <f t="shared" si="2"/>
        <v>No</v>
      </c>
      <c r="AK43" t="s">
        <v>35</v>
      </c>
      <c r="AL43">
        <v>146</v>
      </c>
      <c r="AM43">
        <v>135</v>
      </c>
      <c r="AN43">
        <v>1</v>
      </c>
      <c r="AO43" s="217">
        <v>7.4074074074074077E-3</v>
      </c>
      <c r="AP43">
        <v>23</v>
      </c>
      <c r="AQ43" s="217">
        <v>0.17037037037037037</v>
      </c>
    </row>
    <row r="44" spans="1:43" x14ac:dyDescent="0.35">
      <c r="A44" s="16" t="s">
        <v>409</v>
      </c>
      <c r="B44" s="13">
        <v>501</v>
      </c>
      <c r="C44" s="13">
        <v>450</v>
      </c>
      <c r="D44" s="13">
        <v>33</v>
      </c>
      <c r="E44" s="26">
        <v>7.3333333333333334E-2</v>
      </c>
      <c r="F44" s="13">
        <v>12</v>
      </c>
      <c r="G44" s="26">
        <v>2.6666666666666668E-2</v>
      </c>
      <c r="H44" s="13"/>
      <c r="I44" s="13">
        <v>492</v>
      </c>
      <c r="J44" s="13">
        <v>442</v>
      </c>
      <c r="K44" s="13">
        <v>29</v>
      </c>
      <c r="L44" s="26">
        <v>6.561085972850679E-2</v>
      </c>
      <c r="M44" s="13">
        <v>7</v>
      </c>
      <c r="N44" s="26">
        <v>1.5837104072398189E-2</v>
      </c>
      <c r="O44" s="13"/>
      <c r="P44" s="13">
        <v>487</v>
      </c>
      <c r="Q44" s="13">
        <v>450</v>
      </c>
      <c r="R44" s="13">
        <v>28</v>
      </c>
      <c r="S44" s="26">
        <v>6.222222222222222E-2</v>
      </c>
      <c r="T44" s="13">
        <v>13</v>
      </c>
      <c r="U44" s="26">
        <v>2.8888888888888888E-2</v>
      </c>
      <c r="V44" s="13"/>
      <c r="W44" s="13">
        <v>469</v>
      </c>
      <c r="X44" s="13">
        <v>444</v>
      </c>
      <c r="Y44" s="13">
        <v>29</v>
      </c>
      <c r="Z44" s="26">
        <v>6.5315315315315314E-2</v>
      </c>
      <c r="AA44" s="13">
        <v>8</v>
      </c>
      <c r="AB44" s="26">
        <v>1.8018018018018018E-2</v>
      </c>
      <c r="AC44" s="13"/>
      <c r="AD44" s="276">
        <v>416</v>
      </c>
      <c r="AE44" s="276">
        <v>385</v>
      </c>
      <c r="AF44" s="276">
        <v>38</v>
      </c>
      <c r="AG44" s="82">
        <f t="shared" si="0"/>
        <v>9.8701298701298706E-2</v>
      </c>
      <c r="AH44" s="276">
        <v>52</v>
      </c>
      <c r="AI44" s="82">
        <f t="shared" si="1"/>
        <v>0.13506493506493505</v>
      </c>
      <c r="AJ44" s="155" t="str">
        <f t="shared" si="2"/>
        <v>OK</v>
      </c>
      <c r="AK44" t="s">
        <v>409</v>
      </c>
      <c r="AL44">
        <v>416</v>
      </c>
      <c r="AM44">
        <v>385</v>
      </c>
      <c r="AN44">
        <v>38</v>
      </c>
      <c r="AO44" s="217">
        <v>9.8701298701298706E-2</v>
      </c>
      <c r="AP44">
        <v>52</v>
      </c>
      <c r="AQ44" s="217">
        <v>0.13506493506493505</v>
      </c>
    </row>
    <row r="45" spans="1:43" x14ac:dyDescent="0.35">
      <c r="A45" s="16" t="s">
        <v>28</v>
      </c>
      <c r="B45" s="13">
        <v>12</v>
      </c>
      <c r="C45" s="13">
        <v>9</v>
      </c>
      <c r="D45" s="13">
        <v>0</v>
      </c>
      <c r="E45" s="26">
        <v>0</v>
      </c>
      <c r="F45" s="13">
        <v>1</v>
      </c>
      <c r="G45" s="26">
        <v>0.1111111111111111</v>
      </c>
      <c r="H45" s="13"/>
      <c r="I45" s="13">
        <v>11</v>
      </c>
      <c r="J45" s="13">
        <v>10</v>
      </c>
      <c r="K45" s="13">
        <v>0</v>
      </c>
      <c r="L45" s="26">
        <v>0</v>
      </c>
      <c r="M45" s="13">
        <v>1</v>
      </c>
      <c r="N45" s="26">
        <v>0.1</v>
      </c>
      <c r="O45" s="13"/>
      <c r="P45" s="13">
        <v>12</v>
      </c>
      <c r="Q45" s="13">
        <v>11</v>
      </c>
      <c r="R45" s="13"/>
      <c r="S45" s="26">
        <v>0</v>
      </c>
      <c r="T45" s="13"/>
      <c r="U45" s="26">
        <v>0</v>
      </c>
      <c r="V45" s="13"/>
      <c r="W45" s="13">
        <v>11</v>
      </c>
      <c r="X45" s="13">
        <v>11</v>
      </c>
      <c r="Y45" s="13"/>
      <c r="Z45" s="26">
        <v>0</v>
      </c>
      <c r="AA45" s="13">
        <v>1</v>
      </c>
      <c r="AB45" s="26">
        <v>9.0909090909090912E-2</v>
      </c>
      <c r="AC45" s="13"/>
      <c r="AD45" s="276">
        <v>9</v>
      </c>
      <c r="AE45" s="276">
        <v>9</v>
      </c>
      <c r="AF45" s="276"/>
      <c r="AG45" s="82">
        <f t="shared" si="0"/>
        <v>0</v>
      </c>
      <c r="AH45" s="276"/>
      <c r="AI45" s="82">
        <f t="shared" si="1"/>
        <v>0</v>
      </c>
      <c r="AJ45" s="155" t="str">
        <f t="shared" si="2"/>
        <v>OK</v>
      </c>
      <c r="AK45" t="s">
        <v>28</v>
      </c>
      <c r="AL45">
        <v>9</v>
      </c>
      <c r="AM45">
        <v>9</v>
      </c>
      <c r="AO45" s="217">
        <v>0</v>
      </c>
      <c r="AQ45" s="217">
        <v>0</v>
      </c>
    </row>
    <row r="46" spans="1:43" x14ac:dyDescent="0.35">
      <c r="A46" s="16" t="s">
        <v>29</v>
      </c>
      <c r="B46" s="13">
        <v>5</v>
      </c>
      <c r="C46" s="13">
        <v>4</v>
      </c>
      <c r="D46" s="13">
        <v>1</v>
      </c>
      <c r="E46" s="26">
        <v>0.25</v>
      </c>
      <c r="F46" s="13">
        <v>0</v>
      </c>
      <c r="G46" s="26">
        <v>0</v>
      </c>
      <c r="H46" s="13"/>
      <c r="I46" s="13">
        <v>4</v>
      </c>
      <c r="J46" s="13">
        <v>4</v>
      </c>
      <c r="K46" s="13">
        <v>0</v>
      </c>
      <c r="L46" s="26">
        <v>0</v>
      </c>
      <c r="M46" s="13">
        <v>0</v>
      </c>
      <c r="N46" s="26">
        <v>0</v>
      </c>
      <c r="O46" s="13"/>
      <c r="P46" s="13">
        <v>4</v>
      </c>
      <c r="Q46" s="13">
        <v>4</v>
      </c>
      <c r="R46" s="13"/>
      <c r="S46" s="26">
        <v>0</v>
      </c>
      <c r="T46" s="13"/>
      <c r="U46" s="26">
        <v>0</v>
      </c>
      <c r="V46" s="13"/>
      <c r="W46" s="13">
        <v>4</v>
      </c>
      <c r="X46" s="13">
        <v>4</v>
      </c>
      <c r="Y46" s="13"/>
      <c r="Z46" s="26">
        <v>0</v>
      </c>
      <c r="AA46" s="13"/>
      <c r="AB46" s="26">
        <v>0</v>
      </c>
      <c r="AC46" s="13"/>
      <c r="AD46" s="276">
        <v>4</v>
      </c>
      <c r="AE46" s="276">
        <v>4</v>
      </c>
      <c r="AF46" s="276"/>
      <c r="AG46" s="82">
        <f t="shared" si="0"/>
        <v>0</v>
      </c>
      <c r="AH46" s="276"/>
      <c r="AI46" s="82">
        <f t="shared" si="1"/>
        <v>0</v>
      </c>
      <c r="AJ46" s="155" t="str">
        <f t="shared" si="2"/>
        <v>OK</v>
      </c>
      <c r="AK46" t="s">
        <v>29</v>
      </c>
      <c r="AL46">
        <v>4</v>
      </c>
      <c r="AM46">
        <v>4</v>
      </c>
      <c r="AO46" s="217">
        <v>0</v>
      </c>
      <c r="AQ46" s="217">
        <v>0</v>
      </c>
    </row>
    <row r="47" spans="1:43" x14ac:dyDescent="0.35">
      <c r="A47" s="16" t="s">
        <v>359</v>
      </c>
      <c r="B47" s="13">
        <v>29</v>
      </c>
      <c r="C47" s="13">
        <v>28</v>
      </c>
      <c r="D47" s="13">
        <v>1</v>
      </c>
      <c r="E47" s="26">
        <v>3.5714285714285712E-2</v>
      </c>
      <c r="F47" s="13">
        <v>1</v>
      </c>
      <c r="G47" s="26">
        <v>3.5714285714285712E-2</v>
      </c>
      <c r="H47" s="13"/>
      <c r="I47" s="13">
        <v>31</v>
      </c>
      <c r="J47" s="13">
        <v>29</v>
      </c>
      <c r="K47" s="13">
        <v>1</v>
      </c>
      <c r="L47" s="26">
        <v>3.4482758620689655E-2</v>
      </c>
      <c r="M47" s="13">
        <v>1</v>
      </c>
      <c r="N47" s="26">
        <v>3.4482758620689655E-2</v>
      </c>
      <c r="O47" s="13"/>
      <c r="P47" s="13">
        <v>34</v>
      </c>
      <c r="Q47" s="13">
        <v>31</v>
      </c>
      <c r="R47" s="13">
        <v>1</v>
      </c>
      <c r="S47" s="26">
        <v>3.2258064516129031E-2</v>
      </c>
      <c r="T47" s="13"/>
      <c r="U47" s="26">
        <v>0</v>
      </c>
      <c r="V47" s="13"/>
      <c r="W47" s="13">
        <v>35</v>
      </c>
      <c r="X47" s="13">
        <v>35</v>
      </c>
      <c r="Y47" s="13">
        <v>2</v>
      </c>
      <c r="Z47" s="26">
        <v>5.7142857142857141E-2</v>
      </c>
      <c r="AA47" s="13">
        <v>2</v>
      </c>
      <c r="AB47" s="26">
        <v>5.7142857142857141E-2</v>
      </c>
      <c r="AC47" s="13"/>
      <c r="AD47" s="276">
        <v>33</v>
      </c>
      <c r="AE47" s="276">
        <v>32</v>
      </c>
      <c r="AF47" s="276">
        <v>3</v>
      </c>
      <c r="AG47" s="82">
        <f t="shared" si="0"/>
        <v>9.375E-2</v>
      </c>
      <c r="AH47" s="276">
        <v>2</v>
      </c>
      <c r="AI47" s="82">
        <f t="shared" si="1"/>
        <v>6.25E-2</v>
      </c>
      <c r="AJ47" s="155" t="str">
        <f t="shared" si="2"/>
        <v>OK</v>
      </c>
      <c r="AK47" t="s">
        <v>359</v>
      </c>
      <c r="AL47">
        <v>33</v>
      </c>
      <c r="AM47">
        <v>32</v>
      </c>
      <c r="AN47">
        <v>3</v>
      </c>
      <c r="AO47" s="217">
        <v>9.375E-2</v>
      </c>
      <c r="AP47">
        <v>2</v>
      </c>
      <c r="AQ47" s="217">
        <v>6.25E-2</v>
      </c>
    </row>
    <row r="48" spans="1:43" x14ac:dyDescent="0.35">
      <c r="A48" s="16" t="s">
        <v>30</v>
      </c>
      <c r="B48" s="13">
        <v>106</v>
      </c>
      <c r="C48" s="13">
        <v>90</v>
      </c>
      <c r="D48" s="13">
        <v>2</v>
      </c>
      <c r="E48" s="26">
        <v>2.2222222222222223E-2</v>
      </c>
      <c r="F48" s="13">
        <v>0</v>
      </c>
      <c r="G48" s="26">
        <v>0</v>
      </c>
      <c r="H48" s="13"/>
      <c r="I48" s="13">
        <v>110</v>
      </c>
      <c r="J48" s="13">
        <v>102</v>
      </c>
      <c r="K48" s="13">
        <v>1</v>
      </c>
      <c r="L48" s="26">
        <v>9.8039215686274508E-3</v>
      </c>
      <c r="M48" s="13">
        <v>1</v>
      </c>
      <c r="N48" s="26">
        <v>9.8039215686274508E-3</v>
      </c>
      <c r="O48" s="13"/>
      <c r="P48" s="13">
        <v>110</v>
      </c>
      <c r="Q48" s="13">
        <v>104</v>
      </c>
      <c r="R48" s="13">
        <v>2</v>
      </c>
      <c r="S48" s="26">
        <v>1.9230769230769232E-2</v>
      </c>
      <c r="T48" s="13">
        <v>1</v>
      </c>
      <c r="U48" s="26">
        <v>9.6153846153846159E-3</v>
      </c>
      <c r="V48" s="13"/>
      <c r="W48" s="13">
        <v>111</v>
      </c>
      <c r="X48" s="13">
        <v>105</v>
      </c>
      <c r="Y48" s="13">
        <v>2</v>
      </c>
      <c r="Z48" s="26">
        <v>1.9047619047619049E-2</v>
      </c>
      <c r="AA48" s="13">
        <v>3</v>
      </c>
      <c r="AB48" s="26">
        <v>2.8571428571428571E-2</v>
      </c>
      <c r="AC48" s="13"/>
      <c r="AD48" s="276">
        <v>101</v>
      </c>
      <c r="AE48" s="276">
        <v>97</v>
      </c>
      <c r="AF48" s="276">
        <v>11</v>
      </c>
      <c r="AG48" s="82">
        <f t="shared" si="0"/>
        <v>0.1134020618556701</v>
      </c>
      <c r="AH48" s="276">
        <v>24</v>
      </c>
      <c r="AI48" s="82">
        <f t="shared" si="1"/>
        <v>0.24742268041237114</v>
      </c>
      <c r="AJ48" s="155" t="str">
        <f t="shared" si="2"/>
        <v>OK</v>
      </c>
      <c r="AK48" t="s">
        <v>30</v>
      </c>
      <c r="AL48">
        <v>101</v>
      </c>
      <c r="AM48">
        <v>97</v>
      </c>
      <c r="AN48">
        <v>11</v>
      </c>
      <c r="AO48" s="217">
        <v>0.1134020618556701</v>
      </c>
      <c r="AP48">
        <v>24</v>
      </c>
      <c r="AQ48" s="217">
        <v>0.24742268041237114</v>
      </c>
    </row>
    <row r="49" spans="1:43" x14ac:dyDescent="0.35">
      <c r="A49" s="16" t="s">
        <v>31</v>
      </c>
      <c r="B49" s="13">
        <v>13</v>
      </c>
      <c r="C49" s="13">
        <v>13</v>
      </c>
      <c r="D49" s="13">
        <v>3</v>
      </c>
      <c r="E49" s="26">
        <v>0.23076923076923078</v>
      </c>
      <c r="F49" s="13">
        <v>0</v>
      </c>
      <c r="G49" s="26">
        <v>0</v>
      </c>
      <c r="H49" s="13"/>
      <c r="I49" s="13">
        <v>10</v>
      </c>
      <c r="J49" s="13">
        <v>9</v>
      </c>
      <c r="K49" s="13">
        <v>1</v>
      </c>
      <c r="L49" s="26">
        <v>0.1111111111111111</v>
      </c>
      <c r="M49" s="13">
        <v>0</v>
      </c>
      <c r="N49" s="26">
        <v>0</v>
      </c>
      <c r="O49" s="13"/>
      <c r="P49" s="13">
        <v>12</v>
      </c>
      <c r="Q49" s="13">
        <v>11</v>
      </c>
      <c r="R49" s="13">
        <v>1</v>
      </c>
      <c r="S49" s="26">
        <v>9.0909090909090912E-2</v>
      </c>
      <c r="T49" s="13"/>
      <c r="U49" s="26">
        <v>0</v>
      </c>
      <c r="V49" s="13"/>
      <c r="W49" s="13">
        <v>11</v>
      </c>
      <c r="X49" s="13">
        <v>11</v>
      </c>
      <c r="Y49" s="13">
        <v>1</v>
      </c>
      <c r="Z49" s="26">
        <v>9.0909090909090912E-2</v>
      </c>
      <c r="AA49" s="13"/>
      <c r="AB49" s="26">
        <v>0</v>
      </c>
      <c r="AC49" s="13"/>
      <c r="AD49" s="276">
        <v>19</v>
      </c>
      <c r="AE49" s="276">
        <v>18</v>
      </c>
      <c r="AF49" s="276"/>
      <c r="AG49" s="82">
        <f t="shared" si="0"/>
        <v>0</v>
      </c>
      <c r="AH49" s="276">
        <v>2</v>
      </c>
      <c r="AI49" s="82">
        <f t="shared" si="1"/>
        <v>0.1111111111111111</v>
      </c>
      <c r="AJ49" s="155" t="str">
        <f t="shared" si="2"/>
        <v>OK</v>
      </c>
      <c r="AK49" t="s">
        <v>31</v>
      </c>
      <c r="AL49">
        <v>19</v>
      </c>
      <c r="AM49">
        <v>18</v>
      </c>
      <c r="AO49" s="217">
        <v>0</v>
      </c>
      <c r="AP49">
        <v>2</v>
      </c>
      <c r="AQ49" s="217">
        <v>0.1111111111111111</v>
      </c>
    </row>
    <row r="50" spans="1:43" x14ac:dyDescent="0.35">
      <c r="A50" s="16" t="s">
        <v>32</v>
      </c>
      <c r="B50" s="13">
        <v>25</v>
      </c>
      <c r="C50" s="13">
        <v>22</v>
      </c>
      <c r="D50" s="13">
        <v>0</v>
      </c>
      <c r="E50" s="26">
        <v>0</v>
      </c>
      <c r="F50" s="13">
        <v>0</v>
      </c>
      <c r="G50" s="26">
        <v>0</v>
      </c>
      <c r="H50" s="13"/>
      <c r="I50" s="13">
        <v>23</v>
      </c>
      <c r="J50" s="13">
        <v>23</v>
      </c>
      <c r="K50" s="13">
        <v>0</v>
      </c>
      <c r="L50" s="26">
        <v>0</v>
      </c>
      <c r="M50" s="13">
        <v>1</v>
      </c>
      <c r="N50" s="26">
        <v>4.3478260869565216E-2</v>
      </c>
      <c r="O50" s="13"/>
      <c r="P50" s="13">
        <v>24</v>
      </c>
      <c r="Q50" s="13">
        <v>23</v>
      </c>
      <c r="R50" s="13">
        <v>1</v>
      </c>
      <c r="S50" s="26">
        <v>4.3478260869565216E-2</v>
      </c>
      <c r="T50" s="13"/>
      <c r="U50" s="26">
        <v>0</v>
      </c>
      <c r="V50" s="13"/>
      <c r="W50" s="13">
        <v>24</v>
      </c>
      <c r="X50" s="13">
        <v>24</v>
      </c>
      <c r="Y50" s="13"/>
      <c r="Z50" s="26">
        <v>0</v>
      </c>
      <c r="AA50" s="13"/>
      <c r="AB50" s="26">
        <v>0</v>
      </c>
      <c r="AC50" s="13"/>
      <c r="AD50" s="276">
        <v>22</v>
      </c>
      <c r="AE50" s="276">
        <v>22</v>
      </c>
      <c r="AF50" s="276">
        <v>2</v>
      </c>
      <c r="AG50" s="82">
        <f t="shared" si="0"/>
        <v>9.0909090909090912E-2</v>
      </c>
      <c r="AH50" s="276">
        <v>3</v>
      </c>
      <c r="AI50" s="82">
        <f t="shared" si="1"/>
        <v>0.13636363636363635</v>
      </c>
      <c r="AJ50" s="155" t="str">
        <f t="shared" si="2"/>
        <v>OK</v>
      </c>
      <c r="AK50" t="s">
        <v>32</v>
      </c>
      <c r="AL50">
        <v>22</v>
      </c>
      <c r="AM50">
        <v>22</v>
      </c>
      <c r="AN50">
        <v>2</v>
      </c>
      <c r="AO50" s="217">
        <v>9.0909090909090912E-2</v>
      </c>
      <c r="AP50">
        <v>3</v>
      </c>
      <c r="AQ50" s="217">
        <v>0.13636363636363635</v>
      </c>
    </row>
    <row r="51" spans="1:43" x14ac:dyDescent="0.35">
      <c r="A51" s="16" t="s">
        <v>33</v>
      </c>
      <c r="B51" s="13">
        <v>231</v>
      </c>
      <c r="C51" s="13">
        <v>212</v>
      </c>
      <c r="D51" s="13">
        <v>8</v>
      </c>
      <c r="E51" s="26">
        <v>3.7735849056603772E-2</v>
      </c>
      <c r="F51" s="13">
        <v>1</v>
      </c>
      <c r="G51" s="26">
        <v>4.7169811320754715E-3</v>
      </c>
      <c r="H51" s="13"/>
      <c r="I51" s="13">
        <v>234</v>
      </c>
      <c r="J51" s="13">
        <v>213</v>
      </c>
      <c r="K51" s="13">
        <v>11</v>
      </c>
      <c r="L51" s="26">
        <v>5.1643192488262914E-2</v>
      </c>
      <c r="M51" s="13">
        <v>1</v>
      </c>
      <c r="N51" s="26">
        <v>4.6948356807511738E-3</v>
      </c>
      <c r="O51" s="13"/>
      <c r="P51" s="13">
        <v>232</v>
      </c>
      <c r="Q51" s="13">
        <v>215</v>
      </c>
      <c r="R51" s="13">
        <v>3</v>
      </c>
      <c r="S51" s="26">
        <v>1.3953488372093023E-2</v>
      </c>
      <c r="T51" s="13">
        <v>2</v>
      </c>
      <c r="U51" s="26">
        <v>9.3023255813953487E-3</v>
      </c>
      <c r="V51" s="13"/>
      <c r="W51" s="13">
        <v>241</v>
      </c>
      <c r="X51" s="13">
        <v>231</v>
      </c>
      <c r="Y51" s="13">
        <v>3</v>
      </c>
      <c r="Z51" s="26">
        <v>1.2987012987012988E-2</v>
      </c>
      <c r="AA51" s="13">
        <v>9</v>
      </c>
      <c r="AB51" s="26">
        <v>3.896103896103896E-2</v>
      </c>
      <c r="AC51" s="13"/>
      <c r="AD51" s="276">
        <v>171</v>
      </c>
      <c r="AE51" s="276">
        <v>170</v>
      </c>
      <c r="AF51" s="276">
        <v>3</v>
      </c>
      <c r="AG51" s="82">
        <f t="shared" si="0"/>
        <v>1.7647058823529412E-2</v>
      </c>
      <c r="AH51" s="276">
        <v>45</v>
      </c>
      <c r="AI51" s="82">
        <f t="shared" si="1"/>
        <v>0.26470588235294118</v>
      </c>
      <c r="AJ51" s="155" t="str">
        <f t="shared" si="2"/>
        <v>OK</v>
      </c>
      <c r="AK51" t="s">
        <v>33</v>
      </c>
      <c r="AL51">
        <v>171</v>
      </c>
      <c r="AM51">
        <v>170</v>
      </c>
      <c r="AN51">
        <v>3</v>
      </c>
      <c r="AO51" s="217">
        <v>1.7647058823529412E-2</v>
      </c>
      <c r="AP51">
        <v>45</v>
      </c>
      <c r="AQ51" s="217">
        <v>0.26470588235294118</v>
      </c>
    </row>
    <row r="52" spans="1:43" x14ac:dyDescent="0.35">
      <c r="A52" s="16"/>
      <c r="B52" s="69"/>
      <c r="C52" s="16"/>
      <c r="D52" s="16"/>
      <c r="E52" s="33"/>
      <c r="F52" s="16"/>
      <c r="G52" s="33"/>
      <c r="H52" s="16"/>
      <c r="I52" s="69"/>
      <c r="J52" s="16"/>
      <c r="K52" s="16"/>
      <c r="L52" s="33"/>
      <c r="M52" s="16"/>
      <c r="N52" s="33"/>
      <c r="O52" s="16"/>
      <c r="P52" s="69"/>
      <c r="Q52" s="16"/>
      <c r="R52" s="16"/>
      <c r="S52" s="33"/>
      <c r="T52" s="16"/>
      <c r="U52" s="33"/>
      <c r="V52" s="16"/>
      <c r="W52" s="69"/>
      <c r="X52" s="16"/>
      <c r="Y52" s="16"/>
      <c r="Z52" s="33"/>
      <c r="AA52" s="16"/>
      <c r="AB52" s="33"/>
      <c r="AC52" s="16"/>
      <c r="AD52" s="16"/>
      <c r="AE52" s="16"/>
      <c r="AF52" s="16"/>
      <c r="AG52" s="84"/>
      <c r="AH52" s="16"/>
      <c r="AI52" s="84"/>
    </row>
    <row r="53" spans="1:43" ht="15" thickBot="1" x14ac:dyDescent="0.4">
      <c r="A53" s="25" t="s">
        <v>113</v>
      </c>
      <c r="B53" s="74">
        <v>6016</v>
      </c>
      <c r="C53" s="28">
        <v>5528</v>
      </c>
      <c r="D53" s="28">
        <v>455</v>
      </c>
      <c r="E53" s="27">
        <v>8.2308248914616494E-2</v>
      </c>
      <c r="F53" s="28">
        <v>116</v>
      </c>
      <c r="G53" s="27">
        <v>2.0984081041968163E-2</v>
      </c>
      <c r="H53" s="295"/>
      <c r="I53" s="74">
        <v>5978</v>
      </c>
      <c r="J53" s="28">
        <v>5574</v>
      </c>
      <c r="K53" s="28">
        <v>389</v>
      </c>
      <c r="L53" s="27">
        <v>6.9788302834589158E-2</v>
      </c>
      <c r="M53" s="28">
        <v>95</v>
      </c>
      <c r="N53" s="27">
        <v>1.7043415859346968E-2</v>
      </c>
      <c r="O53" s="295"/>
      <c r="P53" s="74">
        <v>6086</v>
      </c>
      <c r="Q53" s="28">
        <v>5641</v>
      </c>
      <c r="R53" s="28">
        <v>325</v>
      </c>
      <c r="S53" s="27">
        <v>5.7613898244992023E-2</v>
      </c>
      <c r="T53" s="28">
        <v>134</v>
      </c>
      <c r="U53" s="27">
        <v>2.3754653430242866E-2</v>
      </c>
      <c r="V53" s="295"/>
      <c r="W53" s="74">
        <v>5990</v>
      </c>
      <c r="X53" s="28">
        <v>5732</v>
      </c>
      <c r="Y53" s="28">
        <v>232</v>
      </c>
      <c r="Z53" s="27">
        <v>4.0474528960223306E-2</v>
      </c>
      <c r="AA53" s="28">
        <v>132</v>
      </c>
      <c r="AB53" s="27">
        <v>2.3028611304954642E-2</v>
      </c>
      <c r="AC53" s="295"/>
      <c r="AD53" s="309">
        <f>SUM(AD6:AD51)</f>
        <v>5054</v>
      </c>
      <c r="AE53" s="309">
        <f>SUM(AE6:AE51)</f>
        <v>4888</v>
      </c>
      <c r="AF53" s="309">
        <f>SUM(AF6:AF51)</f>
        <v>355</v>
      </c>
      <c r="AG53" s="83">
        <f>AF53/AE53</f>
        <v>7.2626841243862525E-2</v>
      </c>
      <c r="AH53" s="309">
        <f>SUM(AH6:AH51)</f>
        <v>651</v>
      </c>
      <c r="AI53" s="83">
        <f>AH53/AE53</f>
        <v>0.13318330605564649</v>
      </c>
      <c r="AK53" t="s">
        <v>394</v>
      </c>
      <c r="AL53">
        <v>5054</v>
      </c>
      <c r="AM53">
        <v>4888</v>
      </c>
      <c r="AN53">
        <v>355</v>
      </c>
      <c r="AO53" s="217">
        <v>7.2626841243862525E-2</v>
      </c>
      <c r="AP53">
        <v>651</v>
      </c>
      <c r="AQ53" s="217">
        <v>0.13318330605564649</v>
      </c>
    </row>
    <row r="54" spans="1:43" ht="15" thickTop="1" x14ac:dyDescent="0.35"/>
  </sheetData>
  <sortState ref="A6:AI51">
    <sortCondition ref="A6"/>
  </sortState>
  <mergeCells count="10">
    <mergeCell ref="AF3:AG3"/>
    <mergeCell ref="AH3:AI3"/>
    <mergeCell ref="Y3:Z3"/>
    <mergeCell ref="AA3:AB3"/>
    <mergeCell ref="D3:E3"/>
    <mergeCell ref="F3:G3"/>
    <mergeCell ref="K3:L3"/>
    <mergeCell ref="M3:N3"/>
    <mergeCell ref="R3:S3"/>
    <mergeCell ref="T3:U3"/>
  </mergeCells>
  <pageMargins left="0.7" right="0.7" top="0.75" bottom="0.75" header="0.3" footer="0.3"/>
  <pageSetup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vt:i4>
      </vt:variant>
    </vt:vector>
  </HeadingPairs>
  <TitlesOfParts>
    <vt:vector size="29" baseType="lpstr">
      <vt:lpstr>Home Page</vt:lpstr>
      <vt:lpstr>5 Year ScoreCard</vt:lpstr>
      <vt:lpstr>Yr Over Yr Metrics and Trends</vt:lpstr>
      <vt:lpstr>Assumptions</vt:lpstr>
      <vt:lpstr>Key Metric Settings</vt:lpstr>
      <vt:lpstr>Calculations</vt:lpstr>
      <vt:lpstr>Financial Data Input</vt:lpstr>
      <vt:lpstr>Tables for Filters</vt:lpstr>
      <vt:lpstr>PCards</vt:lpstr>
      <vt:lpstr>Retro Pay</vt:lpstr>
      <vt:lpstr>SP Retro Pay</vt:lpstr>
      <vt:lpstr>Effort Cert</vt:lpstr>
      <vt:lpstr>Cash Handling</vt:lpstr>
      <vt:lpstr>Credit Card</vt:lpstr>
      <vt:lpstr>Concur Approvers</vt:lpstr>
      <vt:lpstr>Gift Funds</vt:lpstr>
      <vt:lpstr>Financial Aid</vt:lpstr>
      <vt:lpstr>Capital Equipment</vt:lpstr>
      <vt:lpstr>T&amp;E Spend</vt:lpstr>
      <vt:lpstr>Certification Responses</vt:lpstr>
      <vt:lpstr>'5 Year ScoreCard'!Print_Area</vt:lpstr>
      <vt:lpstr>Assumptions!Print_Area</vt:lpstr>
      <vt:lpstr>'Yr Over Yr Metrics and Trends'!Print_Area</vt:lpstr>
      <vt:lpstr>'5 Year ScoreCard'!Print_Titles</vt:lpstr>
      <vt:lpstr>Assumptions!Print_Titles</vt:lpstr>
      <vt:lpstr>'Yr Over Yr Metrics and Trends'!Print_Titles</vt:lpstr>
      <vt:lpstr>SelectedYear</vt:lpstr>
      <vt:lpstr>'Yr Over Yr Metrics and Trends'!Years</vt:lpstr>
      <vt:lpstr>Years</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Bressler, Kay</dc:creator>
  <cp:lastModifiedBy>Bressler, Kay</cp:lastModifiedBy>
  <cp:lastPrinted>2020-03-05T17:24:31Z</cp:lastPrinted>
  <dcterms:created xsi:type="dcterms:W3CDTF">2017-03-21T17:31:25Z</dcterms:created>
  <dcterms:modified xsi:type="dcterms:W3CDTF">2021-12-09T14:52:00Z</dcterms:modified>
</cp:coreProperties>
</file>