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tables/table1.xml" ContentType="application/vnd.openxmlformats-officedocument.spreadsheetml.table+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Kay\14-Dash Board - Scorecard\2-Scorecard\FY 2020\"/>
    </mc:Choice>
  </mc:AlternateContent>
  <bookViews>
    <workbookView xWindow="120" yWindow="195" windowWidth="15570" windowHeight="11190" tabRatio="933"/>
  </bookViews>
  <sheets>
    <sheet name="Home Page" sheetId="72" r:id="rId1"/>
    <sheet name="Yr Over Yr Metrics and Trends" sheetId="85" r:id="rId2"/>
    <sheet name="5 Year ScoreCard" sheetId="59" r:id="rId3"/>
    <sheet name="Assumptions" sheetId="20" r:id="rId4"/>
    <sheet name="Key Metric Settings" sheetId="83" state="hidden" r:id="rId5"/>
    <sheet name="Financial Data Input" sheetId="82" state="hidden" r:id="rId6"/>
    <sheet name="Calculations" sheetId="84" state="hidden" r:id="rId7"/>
    <sheet name="Tables for Filters" sheetId="73" state="hidden" r:id="rId8"/>
    <sheet name="PCards" sheetId="64" state="hidden" r:id="rId9"/>
    <sheet name="Retro Pay" sheetId="65" state="hidden" r:id="rId10"/>
    <sheet name="SP Retro Pay" sheetId="66" state="hidden" r:id="rId11"/>
    <sheet name="Effort Cert" sheetId="71" state="hidden" r:id="rId12"/>
    <sheet name="Concur Approvers" sheetId="63" state="hidden" r:id="rId13"/>
    <sheet name="T&amp;E Spend" sheetId="86" state="hidden" r:id="rId14"/>
    <sheet name="Cash Handling" sheetId="67" state="hidden" r:id="rId15"/>
    <sheet name="Credit Card" sheetId="68" state="hidden" r:id="rId16"/>
    <sheet name="Gift Funds" sheetId="69" state="hidden" r:id="rId17"/>
    <sheet name="Financial Aid" sheetId="70" state="hidden" r:id="rId18"/>
    <sheet name="Capital Equipment" sheetId="76" state="hidden" r:id="rId19"/>
    <sheet name="Certification Responses" sheetId="75" state="hidden" r:id="rId20"/>
  </sheets>
  <definedNames>
    <definedName name="lstMetrics" localSheetId="6">OFFSET('Financial Data Input'!$B$7:$B$66,0,0,COUNTA('Financial Data Input'!$B$7:$B$66))</definedName>
    <definedName name="lstMetrics" localSheetId="4">OFFSET('Financial Data Input'!$B$7:$B$66,0,0,COUNTA('Financial Data Input'!$B$7:$B$66))</definedName>
    <definedName name="lstMetrics" localSheetId="1">OFFSET('Financial Data Input'!$B$7:$B$66,0,0,COUNTA('Financial Data Input'!$B$7:$B$66))</definedName>
    <definedName name="lstMetrics">OFFSET('Financial Data Input'!$B$7:$B$66,0,0,COUNTA('Financial Data Input'!$B$7:$B$66))</definedName>
    <definedName name="lstYears" localSheetId="6">OFFSET('Financial Data Input'!$B$6:$I$6,0,1,1,COUNTA('Financial Data Input'!$B$6:$I$6)-1)</definedName>
    <definedName name="lstYears" localSheetId="4">OFFSET('Financial Data Input'!$B$6:$I$6,0,1,1,COUNTA('Financial Data Input'!$B$6:$I$6)-1)</definedName>
    <definedName name="lstYears" localSheetId="1">OFFSET('Financial Data Input'!$B$6:$I$6,0,1,1,COUNTA('Financial Data Input'!$B$6:$I$6)-1)</definedName>
    <definedName name="lstYears">OFFSET('Financial Data Input'!$B$6:$I$6,0,1,1,COUNTA('Financial Data Input'!$B$6:$I$6)-1)</definedName>
    <definedName name="_xlnm.Print_Area" localSheetId="2">'5 Year ScoreCard'!$A$2:$K$98</definedName>
    <definedName name="_xlnm.Print_Area" localSheetId="3">Assumptions!$A$1:$F$91</definedName>
    <definedName name="_xlnm.Print_Area" localSheetId="1">'Yr Over Yr Metrics and Trends'!$B$1:$M$100</definedName>
    <definedName name="_xlnm.Print_Titles" localSheetId="2">'5 Year ScoreCard'!$2:$2</definedName>
    <definedName name="_xlnm.Print_Titles" localSheetId="3">Assumptions!$1:$2</definedName>
    <definedName name="_xlnm.Print_Titles" localSheetId="1">'Yr Over Yr Metrics and Trends'!$15:$15</definedName>
    <definedName name="SelectedYear">'Yr Over Yr Metrics and Trends'!$L$2</definedName>
    <definedName name="Years" localSheetId="1">Calculations!$I$6</definedName>
    <definedName name="Years">Calculations!$I$6</definedName>
  </definedNames>
  <calcPr calcId="162913"/>
</workbook>
</file>

<file path=xl/calcChain.xml><?xml version="1.0" encoding="utf-8"?>
<calcChain xmlns="http://schemas.openxmlformats.org/spreadsheetml/2006/main">
  <c r="AJ53" i="76" l="1"/>
  <c r="AG53" i="76"/>
  <c r="AW35" i="70" l="1"/>
  <c r="AW36" i="70"/>
  <c r="AW37" i="70"/>
  <c r="AW38" i="70"/>
  <c r="AW39" i="70"/>
  <c r="AW40" i="70"/>
  <c r="AW41" i="70"/>
  <c r="AW42" i="70"/>
  <c r="AW43" i="70"/>
  <c r="AW44" i="70"/>
  <c r="AW45" i="70"/>
  <c r="AW46" i="70"/>
  <c r="AW47" i="70"/>
  <c r="AW48" i="70"/>
  <c r="AW49" i="70"/>
  <c r="AW50" i="70"/>
  <c r="AW51" i="70"/>
  <c r="AW15" i="70"/>
  <c r="AW16" i="70"/>
  <c r="AW17" i="70"/>
  <c r="AW18" i="70"/>
  <c r="AW19" i="70"/>
  <c r="AW20" i="70"/>
  <c r="AW21" i="70"/>
  <c r="AW22" i="70"/>
  <c r="AW23" i="70"/>
  <c r="AW24" i="70"/>
  <c r="AW25" i="70"/>
  <c r="AW26" i="70"/>
  <c r="AW27" i="70"/>
  <c r="AW28" i="70"/>
  <c r="AW29" i="70"/>
  <c r="AW30" i="70"/>
  <c r="AW31" i="70"/>
  <c r="AW32" i="70"/>
  <c r="AW33" i="70"/>
  <c r="AW34" i="70"/>
  <c r="AW9" i="70"/>
  <c r="AW10" i="70"/>
  <c r="AW11" i="70"/>
  <c r="AW12" i="70"/>
  <c r="AW13" i="70"/>
  <c r="AW14" i="70"/>
  <c r="J88" i="59" l="1"/>
  <c r="J87" i="59"/>
  <c r="J86" i="59"/>
  <c r="J85" i="59"/>
  <c r="J84" i="59"/>
  <c r="J83" i="59"/>
  <c r="J82" i="59"/>
  <c r="J81" i="59"/>
  <c r="J80" i="59"/>
  <c r="K80" i="59"/>
  <c r="K81" i="59"/>
  <c r="K82" i="59"/>
  <c r="K83" i="59"/>
  <c r="K84" i="59"/>
  <c r="K85" i="59"/>
  <c r="K86" i="59"/>
  <c r="K87" i="59"/>
  <c r="K88" i="59"/>
  <c r="J79" i="59"/>
  <c r="Y18" i="69" l="1"/>
  <c r="Y19" i="69"/>
  <c r="Y20" i="69"/>
  <c r="Y21" i="69"/>
  <c r="Y22" i="69"/>
  <c r="Y23" i="69"/>
  <c r="Y24" i="69"/>
  <c r="Y25" i="69"/>
  <c r="Y26" i="69"/>
  <c r="Y27" i="69"/>
  <c r="Y28" i="69"/>
  <c r="Y29" i="69"/>
  <c r="Y30" i="69"/>
  <c r="Y31" i="69"/>
  <c r="Y32" i="69"/>
  <c r="Y33" i="69"/>
  <c r="Y34" i="69"/>
  <c r="Y35" i="69"/>
  <c r="Y36" i="69"/>
  <c r="Y37" i="69"/>
  <c r="Y38" i="69"/>
  <c r="Y39" i="69"/>
  <c r="Y40" i="69"/>
  <c r="Y41" i="69"/>
  <c r="Y42" i="69"/>
  <c r="Y43" i="69"/>
  <c r="Y44" i="69"/>
  <c r="Y45" i="69"/>
  <c r="Y46" i="69"/>
  <c r="Y47" i="69"/>
  <c r="Y48" i="69"/>
  <c r="Y49" i="69"/>
  <c r="Y50" i="69"/>
  <c r="Y51" i="69"/>
  <c r="Y8" i="69"/>
  <c r="Y9" i="69"/>
  <c r="Y10" i="69"/>
  <c r="Y11" i="69"/>
  <c r="Y12" i="69"/>
  <c r="Y13" i="69"/>
  <c r="Y14" i="69"/>
  <c r="Y15" i="69"/>
  <c r="Y16" i="69"/>
  <c r="Y17" i="69"/>
  <c r="Y7" i="69"/>
  <c r="BP37" i="68" l="1"/>
  <c r="BP38" i="68"/>
  <c r="BP39" i="68"/>
  <c r="BP40" i="68"/>
  <c r="BP41" i="68"/>
  <c r="BP42" i="68"/>
  <c r="BP43" i="68"/>
  <c r="BP44" i="68"/>
  <c r="BP45" i="68"/>
  <c r="BP46" i="68"/>
  <c r="BP47" i="68"/>
  <c r="BP48" i="68"/>
  <c r="BP49" i="68"/>
  <c r="BP50" i="68"/>
  <c r="BP51" i="68"/>
  <c r="BP33" i="68"/>
  <c r="BP34" i="68"/>
  <c r="BP35" i="68"/>
  <c r="BP36" i="68"/>
  <c r="BP19" i="68"/>
  <c r="BP20" i="68"/>
  <c r="BP21" i="68"/>
  <c r="BP22" i="68"/>
  <c r="BP23" i="68"/>
  <c r="BP24" i="68"/>
  <c r="BP25" i="68"/>
  <c r="BP26" i="68"/>
  <c r="BP27" i="68"/>
  <c r="BP28" i="68"/>
  <c r="BP29" i="68"/>
  <c r="BP30" i="68"/>
  <c r="BP31" i="68"/>
  <c r="BP32" i="68"/>
  <c r="BP17" i="68"/>
  <c r="BP18" i="68"/>
  <c r="BP14" i="68"/>
  <c r="BP15" i="68"/>
  <c r="BP16" i="68"/>
  <c r="BP7" i="68"/>
  <c r="BP8" i="68"/>
  <c r="BP9" i="68"/>
  <c r="BP10" i="68"/>
  <c r="BP11" i="68"/>
  <c r="BP12" i="68"/>
  <c r="BP13" i="68"/>
  <c r="BR53" i="68"/>
  <c r="AR21" i="67" l="1"/>
  <c r="AR22" i="67"/>
  <c r="AR23" i="67"/>
  <c r="AR24" i="67"/>
  <c r="AR25" i="67"/>
  <c r="AR26" i="67"/>
  <c r="AR27" i="67"/>
  <c r="AR28" i="67"/>
  <c r="AR29" i="67"/>
  <c r="AR30" i="67"/>
  <c r="AR31" i="67"/>
  <c r="AR32" i="67"/>
  <c r="AR33" i="67"/>
  <c r="AR34" i="67"/>
  <c r="AR35" i="67"/>
  <c r="AR36" i="67"/>
  <c r="AR37" i="67"/>
  <c r="AR38" i="67"/>
  <c r="AR39" i="67"/>
  <c r="AR40" i="67"/>
  <c r="AR41" i="67"/>
  <c r="AR42" i="67"/>
  <c r="AR43" i="67"/>
  <c r="AR44" i="67"/>
  <c r="AR45" i="67"/>
  <c r="AR46" i="67"/>
  <c r="AR47" i="67"/>
  <c r="AR48" i="67"/>
  <c r="AR49" i="67"/>
  <c r="AR50" i="67"/>
  <c r="AR51" i="67"/>
  <c r="AR8" i="67"/>
  <c r="AR9" i="67"/>
  <c r="AR10" i="67"/>
  <c r="AR11" i="67"/>
  <c r="AR12" i="67"/>
  <c r="AR13" i="67"/>
  <c r="AR14" i="67"/>
  <c r="AR15" i="67"/>
  <c r="AR16" i="67"/>
  <c r="AR17" i="67"/>
  <c r="AR18" i="67"/>
  <c r="AR19" i="67"/>
  <c r="AR20" i="67"/>
  <c r="AR7" i="67"/>
  <c r="Y7" i="86" l="1"/>
  <c r="Y8" i="86"/>
  <c r="Y9" i="86"/>
  <c r="Y10" i="86"/>
  <c r="Y11" i="86"/>
  <c r="Y12" i="86"/>
  <c r="Y13" i="86"/>
  <c r="Y14" i="86"/>
  <c r="Y15" i="86"/>
  <c r="Y16" i="86"/>
  <c r="Y17" i="86"/>
  <c r="Y18" i="86"/>
  <c r="Y19" i="86"/>
  <c r="Y20" i="86"/>
  <c r="Y21" i="86"/>
  <c r="Y22" i="86"/>
  <c r="Y23" i="86"/>
  <c r="Y24" i="86"/>
  <c r="Y25" i="86"/>
  <c r="Y26" i="86"/>
  <c r="Y27" i="86"/>
  <c r="Y28" i="86"/>
  <c r="Y29" i="86"/>
  <c r="Y30" i="86"/>
  <c r="Y31" i="86"/>
  <c r="Y32" i="86"/>
  <c r="Y33" i="86"/>
  <c r="Y34" i="86"/>
  <c r="Y35" i="86"/>
  <c r="Y36" i="86"/>
  <c r="Y37" i="86"/>
  <c r="Y38" i="86"/>
  <c r="Y39" i="86"/>
  <c r="Y40" i="86"/>
  <c r="Y41" i="86"/>
  <c r="Y42" i="86"/>
  <c r="Y43" i="86"/>
  <c r="Y44" i="86"/>
  <c r="Y45" i="86"/>
  <c r="Y46" i="86"/>
  <c r="Y47" i="86"/>
  <c r="Y48" i="86"/>
  <c r="Y49" i="86"/>
  <c r="Y50" i="86"/>
  <c r="Y51" i="86"/>
  <c r="U7" i="63" l="1"/>
  <c r="U8" i="63"/>
  <c r="U9" i="63"/>
  <c r="U10" i="63"/>
  <c r="U11" i="63"/>
  <c r="U12" i="63"/>
  <c r="U13" i="63"/>
  <c r="U14" i="63"/>
  <c r="U15" i="63"/>
  <c r="U16" i="63"/>
  <c r="U17" i="63"/>
  <c r="U18" i="63"/>
  <c r="U19" i="63"/>
  <c r="U20" i="63"/>
  <c r="U21" i="63"/>
  <c r="U22" i="63"/>
  <c r="U23" i="63"/>
  <c r="U24" i="63"/>
  <c r="U25" i="63"/>
  <c r="U26" i="63"/>
  <c r="U27" i="63"/>
  <c r="U28" i="63"/>
  <c r="U29" i="63"/>
  <c r="U30" i="63"/>
  <c r="U31" i="63"/>
  <c r="U32" i="63"/>
  <c r="U33" i="63"/>
  <c r="U34" i="63"/>
  <c r="U35" i="63"/>
  <c r="U36" i="63"/>
  <c r="U37" i="63"/>
  <c r="U38" i="63"/>
  <c r="U39" i="63"/>
  <c r="U40" i="63"/>
  <c r="U41" i="63"/>
  <c r="U42" i="63"/>
  <c r="U43" i="63"/>
  <c r="U44" i="63"/>
  <c r="U45" i="63"/>
  <c r="U46" i="63"/>
  <c r="U47" i="63"/>
  <c r="U48" i="63"/>
  <c r="U49" i="63"/>
  <c r="U50" i="63"/>
  <c r="U51" i="63"/>
  <c r="AJ14" i="66" l="1"/>
  <c r="AJ15" i="66"/>
  <c r="AJ16" i="66"/>
  <c r="AJ17" i="66"/>
  <c r="AJ18" i="66"/>
  <c r="AJ19" i="66"/>
  <c r="AJ20" i="66"/>
  <c r="AJ21" i="66"/>
  <c r="AJ22" i="66"/>
  <c r="AJ23" i="66"/>
  <c r="AJ24" i="66"/>
  <c r="AJ25" i="66"/>
  <c r="AJ26" i="66"/>
  <c r="AJ27" i="66"/>
  <c r="AJ28" i="66"/>
  <c r="AJ29" i="66"/>
  <c r="AJ30" i="66"/>
  <c r="AJ31" i="66"/>
  <c r="AJ32" i="66"/>
  <c r="AJ33" i="66"/>
  <c r="AJ34" i="66"/>
  <c r="AJ35" i="66"/>
  <c r="AJ36" i="66"/>
  <c r="AJ37" i="66"/>
  <c r="AJ38" i="66"/>
  <c r="AJ39" i="66"/>
  <c r="AJ40" i="66"/>
  <c r="AJ41" i="66"/>
  <c r="AJ42" i="66"/>
  <c r="AJ43" i="66"/>
  <c r="AJ44" i="66"/>
  <c r="AJ45" i="66"/>
  <c r="AJ46" i="66"/>
  <c r="AJ47" i="66"/>
  <c r="AJ48" i="66"/>
  <c r="AJ49" i="66"/>
  <c r="AJ50" i="66"/>
  <c r="AJ51" i="66"/>
  <c r="AJ6" i="66"/>
  <c r="AJ7" i="66"/>
  <c r="AJ8" i="66"/>
  <c r="AJ9" i="66"/>
  <c r="AJ10" i="66"/>
  <c r="AJ11" i="66"/>
  <c r="AJ12" i="66"/>
  <c r="AJ13" i="66"/>
  <c r="AQ7" i="65" l="1"/>
  <c r="AQ8" i="65"/>
  <c r="AQ9" i="65"/>
  <c r="AQ10" i="65"/>
  <c r="AQ11" i="65"/>
  <c r="AQ12" i="65"/>
  <c r="AQ13" i="65"/>
  <c r="AQ14" i="65"/>
  <c r="AQ15" i="65"/>
  <c r="AQ16" i="65"/>
  <c r="AQ17" i="65"/>
  <c r="AQ18" i="65"/>
  <c r="AQ19" i="65"/>
  <c r="AQ20" i="65"/>
  <c r="AQ21" i="65"/>
  <c r="AQ22" i="65"/>
  <c r="AQ23" i="65"/>
  <c r="AQ24" i="65"/>
  <c r="AQ25" i="65"/>
  <c r="AQ26" i="65"/>
  <c r="AQ27" i="65"/>
  <c r="AQ28" i="65"/>
  <c r="AQ29" i="65"/>
  <c r="AQ30" i="65"/>
  <c r="AQ31" i="65"/>
  <c r="AQ32" i="65"/>
  <c r="AQ33" i="65"/>
  <c r="AQ34" i="65"/>
  <c r="AQ35" i="65"/>
  <c r="AQ36" i="65"/>
  <c r="AQ37" i="65"/>
  <c r="AQ38" i="65"/>
  <c r="AQ39" i="65"/>
  <c r="AQ40" i="65"/>
  <c r="AQ41" i="65"/>
  <c r="AQ42" i="65"/>
  <c r="AQ43" i="65"/>
  <c r="AQ44" i="65"/>
  <c r="AQ45" i="65"/>
  <c r="AQ46" i="65"/>
  <c r="AQ47" i="65"/>
  <c r="AQ48" i="65"/>
  <c r="AQ49" i="65"/>
  <c r="AQ50" i="65"/>
  <c r="AQ51" i="65"/>
  <c r="AN53" i="66" l="1"/>
  <c r="AO53" i="66"/>
  <c r="AM53" i="66"/>
  <c r="AK7" i="66"/>
  <c r="AK8" i="66"/>
  <c r="AK9" i="66"/>
  <c r="AK10" i="66"/>
  <c r="AK11" i="66"/>
  <c r="AK12" i="66"/>
  <c r="AK13" i="66"/>
  <c r="AK14" i="66"/>
  <c r="AK15" i="66"/>
  <c r="AK16" i="66"/>
  <c r="AK17" i="66"/>
  <c r="AK18" i="66"/>
  <c r="AK19" i="66"/>
  <c r="AK20" i="66"/>
  <c r="AK21" i="66"/>
  <c r="AK22" i="66"/>
  <c r="AK23" i="66"/>
  <c r="AK24" i="66"/>
  <c r="AK25" i="66"/>
  <c r="AK26" i="66"/>
  <c r="AK27" i="66"/>
  <c r="AK28" i="66"/>
  <c r="AK29" i="66"/>
  <c r="AK30" i="66"/>
  <c r="AK31" i="66"/>
  <c r="AK32" i="66"/>
  <c r="AK33" i="66"/>
  <c r="AK34" i="66"/>
  <c r="AK35" i="66"/>
  <c r="AK36" i="66"/>
  <c r="AK37" i="66"/>
  <c r="AK38" i="66"/>
  <c r="AK39" i="66"/>
  <c r="AK40" i="66"/>
  <c r="AK41" i="66"/>
  <c r="AK42" i="66"/>
  <c r="AK43" i="66"/>
  <c r="AK44" i="66"/>
  <c r="AK45" i="66"/>
  <c r="AK46" i="66"/>
  <c r="AK47" i="66"/>
  <c r="AK48" i="66"/>
  <c r="AK49" i="66"/>
  <c r="AK50" i="66"/>
  <c r="AK51" i="66"/>
  <c r="T16" i="76" l="1"/>
  <c r="AI53" i="76"/>
  <c r="AF53" i="76"/>
  <c r="Y53" i="76"/>
  <c r="AW7" i="70" l="1"/>
  <c r="AW8" i="70"/>
  <c r="AY53" i="70"/>
  <c r="AZ53" i="70"/>
  <c r="AA53" i="69" l="1"/>
  <c r="AB53" i="69"/>
  <c r="AT56" i="67" l="1"/>
  <c r="AX7" i="64" l="1"/>
  <c r="AX8" i="64"/>
  <c r="AX9" i="64"/>
  <c r="AX10" i="64"/>
  <c r="AX11" i="64"/>
  <c r="AX12" i="64"/>
  <c r="AX13" i="64"/>
  <c r="AX14" i="64"/>
  <c r="AX15" i="64"/>
  <c r="AX16" i="64"/>
  <c r="AX17" i="64"/>
  <c r="AX18" i="64"/>
  <c r="AX19" i="64"/>
  <c r="AX20" i="64"/>
  <c r="AX21" i="64"/>
  <c r="AX22" i="64"/>
  <c r="AX23" i="64"/>
  <c r="AX24" i="64"/>
  <c r="AX25" i="64"/>
  <c r="AX26" i="64"/>
  <c r="AX27" i="64"/>
  <c r="AX28" i="64"/>
  <c r="AX29" i="64"/>
  <c r="AX30" i="64"/>
  <c r="AX31" i="64"/>
  <c r="AX32" i="64"/>
  <c r="AX33" i="64"/>
  <c r="AX34" i="64"/>
  <c r="AX35" i="64"/>
  <c r="AX36" i="64"/>
  <c r="AX37" i="64"/>
  <c r="AX38" i="64"/>
  <c r="AX39" i="64"/>
  <c r="AX40" i="64"/>
  <c r="AX41" i="64"/>
  <c r="AX42" i="64"/>
  <c r="AX43" i="64"/>
  <c r="AX44" i="64"/>
  <c r="AX45" i="64"/>
  <c r="AX46" i="64"/>
  <c r="AX47" i="64"/>
  <c r="AX48" i="64"/>
  <c r="AX49" i="64"/>
  <c r="AX50" i="64"/>
  <c r="AX51" i="64"/>
  <c r="BD53" i="64"/>
  <c r="BA53" i="64"/>
  <c r="BB53" i="64"/>
  <c r="AZ53" i="64"/>
  <c r="V6" i="76" l="1"/>
  <c r="W7" i="76" l="1"/>
  <c r="W8" i="76"/>
  <c r="W9" i="76"/>
  <c r="W10" i="76"/>
  <c r="W11" i="76"/>
  <c r="W12" i="76"/>
  <c r="W13" i="76"/>
  <c r="W14" i="76"/>
  <c r="W15" i="76"/>
  <c r="W16" i="76"/>
  <c r="W17" i="76"/>
  <c r="W18" i="76"/>
  <c r="W19" i="76"/>
  <c r="W20" i="76"/>
  <c r="W21" i="76"/>
  <c r="W22" i="76"/>
  <c r="W23" i="76"/>
  <c r="W24" i="76"/>
  <c r="W25" i="76"/>
  <c r="W26" i="76"/>
  <c r="W27" i="76"/>
  <c r="W28" i="76"/>
  <c r="W29" i="76"/>
  <c r="W30" i="76"/>
  <c r="W31" i="76"/>
  <c r="W32" i="76"/>
  <c r="W33" i="76"/>
  <c r="W34" i="76"/>
  <c r="W35" i="76"/>
  <c r="W36" i="76"/>
  <c r="W37" i="76"/>
  <c r="W38" i="76"/>
  <c r="W39" i="76"/>
  <c r="W40" i="76"/>
  <c r="W41" i="76"/>
  <c r="W42" i="76"/>
  <c r="W43" i="76"/>
  <c r="W44" i="76"/>
  <c r="W45" i="76"/>
  <c r="W46" i="76"/>
  <c r="W47" i="76"/>
  <c r="W48" i="76"/>
  <c r="W49" i="76"/>
  <c r="W50" i="76"/>
  <c r="W51" i="76"/>
  <c r="AR6" i="67" l="1"/>
  <c r="X54" i="63" l="1"/>
  <c r="W54" i="63"/>
  <c r="AK6" i="66" l="1"/>
  <c r="AT6" i="70" l="1"/>
  <c r="V53" i="69"/>
  <c r="T7" i="63"/>
  <c r="T8" i="63"/>
  <c r="T9" i="63"/>
  <c r="T10" i="63"/>
  <c r="T11" i="63"/>
  <c r="T12" i="63"/>
  <c r="T13" i="63"/>
  <c r="T14" i="63"/>
  <c r="T15" i="63"/>
  <c r="T16" i="63"/>
  <c r="T17" i="63"/>
  <c r="T18" i="63"/>
  <c r="T19" i="63"/>
  <c r="T20" i="63"/>
  <c r="T21" i="63"/>
  <c r="T22" i="63"/>
  <c r="T23" i="63"/>
  <c r="T24" i="63"/>
  <c r="T25" i="63"/>
  <c r="T26" i="63"/>
  <c r="T27" i="63"/>
  <c r="T28" i="63"/>
  <c r="T29" i="63"/>
  <c r="T30" i="63"/>
  <c r="T31" i="63"/>
  <c r="T32" i="63"/>
  <c r="T33" i="63"/>
  <c r="T34" i="63"/>
  <c r="T35" i="63"/>
  <c r="T36" i="63"/>
  <c r="T37" i="63"/>
  <c r="T38" i="63"/>
  <c r="T39" i="63"/>
  <c r="T40" i="63"/>
  <c r="T41" i="63"/>
  <c r="T42" i="63"/>
  <c r="T43" i="63"/>
  <c r="T44" i="63"/>
  <c r="T45" i="63"/>
  <c r="T46" i="63"/>
  <c r="T47" i="63"/>
  <c r="T48" i="63"/>
  <c r="T49" i="63"/>
  <c r="T50" i="63"/>
  <c r="T51" i="63"/>
  <c r="AW6" i="64"/>
  <c r="AH6" i="66"/>
  <c r="AH9" i="66"/>
  <c r="AH10" i="66"/>
  <c r="AH11" i="66"/>
  <c r="AH14" i="66"/>
  <c r="AH17" i="66"/>
  <c r="AH18" i="66"/>
  <c r="AH19" i="66"/>
  <c r="AH22" i="66"/>
  <c r="AH23" i="66"/>
  <c r="AH24" i="66"/>
  <c r="AH27" i="66"/>
  <c r="AH28" i="66"/>
  <c r="AH29" i="66"/>
  <c r="AH30" i="66"/>
  <c r="AH31" i="66"/>
  <c r="AH32" i="66"/>
  <c r="AH33" i="66"/>
  <c r="AH34" i="66"/>
  <c r="AH35" i="66"/>
  <c r="AH36" i="66"/>
  <c r="AH37" i="66"/>
  <c r="AH39" i="66"/>
  <c r="AH40" i="66"/>
  <c r="AH42" i="66"/>
  <c r="AH43" i="66"/>
  <c r="AH44" i="66"/>
  <c r="AH47" i="66"/>
  <c r="AH50" i="66"/>
  <c r="AH51" i="66"/>
  <c r="AG53" i="66"/>
  <c r="X53" i="86" l="1"/>
  <c r="W53" i="86"/>
  <c r="V53" i="86"/>
  <c r="Y6" i="86"/>
  <c r="T7" i="71" l="1"/>
  <c r="T8" i="71"/>
  <c r="T9" i="71"/>
  <c r="T10" i="71"/>
  <c r="T11" i="71"/>
  <c r="T12" i="71"/>
  <c r="T13" i="71"/>
  <c r="T14" i="71"/>
  <c r="T15" i="71"/>
  <c r="T16" i="71"/>
  <c r="T17" i="71"/>
  <c r="T18" i="71"/>
  <c r="T19" i="71"/>
  <c r="T20" i="71"/>
  <c r="T21" i="71"/>
  <c r="T22" i="71"/>
  <c r="T23" i="71"/>
  <c r="T24" i="71"/>
  <c r="T25" i="71"/>
  <c r="T26" i="71"/>
  <c r="T27" i="71"/>
  <c r="T28" i="71"/>
  <c r="T29" i="71"/>
  <c r="T30" i="71"/>
  <c r="T31" i="71"/>
  <c r="T32" i="71"/>
  <c r="T33" i="71"/>
  <c r="T34" i="71"/>
  <c r="T35" i="71"/>
  <c r="T36" i="71"/>
  <c r="T37" i="71"/>
  <c r="T38" i="71"/>
  <c r="T39" i="71"/>
  <c r="T40" i="71"/>
  <c r="T41" i="71"/>
  <c r="T42" i="71"/>
  <c r="T43" i="71"/>
  <c r="T44" i="71"/>
  <c r="T45" i="71"/>
  <c r="T46" i="71"/>
  <c r="T47" i="71"/>
  <c r="T48" i="71"/>
  <c r="T49" i="71"/>
  <c r="T50" i="71"/>
  <c r="T51" i="71"/>
  <c r="T6" i="71"/>
  <c r="BH12" i="68" l="1"/>
  <c r="V9" i="76"/>
  <c r="V10" i="76"/>
  <c r="V11" i="76"/>
  <c r="V12" i="76"/>
  <c r="V13" i="76"/>
  <c r="V19" i="76"/>
  <c r="V23" i="76"/>
  <c r="V24" i="76"/>
  <c r="V28" i="76"/>
  <c r="V29" i="76"/>
  <c r="V30" i="76"/>
  <c r="V31" i="76"/>
  <c r="V32" i="76"/>
  <c r="V33" i="76"/>
  <c r="V35" i="76"/>
  <c r="V36" i="76"/>
  <c r="V42" i="76"/>
  <c r="V43" i="76"/>
  <c r="V44" i="76"/>
  <c r="V47" i="76"/>
  <c r="V40" i="76"/>
  <c r="W6" i="76" l="1"/>
  <c r="AW6" i="70" l="1"/>
  <c r="Y6" i="69" l="1"/>
  <c r="AW8" i="64" l="1"/>
  <c r="AU8" i="64"/>
  <c r="AX6" i="64"/>
  <c r="E15" i="85" l="1"/>
  <c r="D15" i="85"/>
  <c r="T7" i="76" l="1"/>
  <c r="T9" i="76"/>
  <c r="T10" i="76"/>
  <c r="T12" i="76"/>
  <c r="T14" i="76"/>
  <c r="T15" i="76"/>
  <c r="T23" i="76"/>
  <c r="T24" i="76"/>
  <c r="T28" i="76"/>
  <c r="T30" i="76"/>
  <c r="T34" i="76"/>
  <c r="T36" i="76"/>
  <c r="T39" i="76"/>
  <c r="T42" i="76"/>
  <c r="T50" i="76"/>
  <c r="T51" i="76"/>
  <c r="T40" i="76"/>
  <c r="U6" i="63" l="1"/>
  <c r="BP6" i="68" l="1"/>
  <c r="AQ6" i="65"/>
  <c r="AR53" i="64" l="1"/>
  <c r="AP53" i="70" l="1"/>
  <c r="B67" i="84" l="1"/>
  <c r="B68" i="84"/>
  <c r="B69" i="84"/>
  <c r="B70" i="84"/>
  <c r="B72" i="84"/>
  <c r="B73" i="84"/>
  <c r="B15" i="84" l="1"/>
  <c r="A40" i="84" l="1"/>
  <c r="A41" i="84"/>
  <c r="A42" i="84"/>
  <c r="A43" i="84"/>
  <c r="A44" i="84"/>
  <c r="A45" i="84"/>
  <c r="A46" i="84"/>
  <c r="A47" i="84"/>
  <c r="A48" i="84"/>
  <c r="A49" i="84"/>
  <c r="A50" i="84"/>
  <c r="A51" i="84"/>
  <c r="A52" i="84"/>
  <c r="A53" i="84"/>
  <c r="A54" i="84"/>
  <c r="A55" i="84"/>
  <c r="A56" i="84"/>
  <c r="A57" i="84"/>
  <c r="A58" i="84"/>
  <c r="A59" i="84"/>
  <c r="A60" i="84"/>
  <c r="A61" i="84"/>
  <c r="A62" i="84"/>
  <c r="A63" i="84"/>
  <c r="A64" i="84"/>
  <c r="A65" i="84"/>
  <c r="A71" i="84"/>
  <c r="A66" i="84"/>
  <c r="A67" i="84"/>
  <c r="A68" i="84"/>
  <c r="A69" i="84"/>
  <c r="A70" i="84"/>
  <c r="A72" i="84"/>
  <c r="A73" i="84"/>
  <c r="B66" i="84" l="1"/>
  <c r="B86" i="85" s="1"/>
  <c r="B87" i="85"/>
  <c r="B88" i="85"/>
  <c r="B89" i="85"/>
  <c r="B90" i="85"/>
  <c r="B91" i="85"/>
  <c r="B92" i="85"/>
  <c r="B38" i="84"/>
  <c r="B39" i="84"/>
  <c r="B40" i="85" s="1"/>
  <c r="B40" i="84"/>
  <c r="B42" i="85" s="1"/>
  <c r="B41" i="84"/>
  <c r="B43" i="85" s="1"/>
  <c r="B42" i="84"/>
  <c r="B44" i="85" s="1"/>
  <c r="B43" i="84"/>
  <c r="B45" i="85" s="1"/>
  <c r="B44" i="84"/>
  <c r="B46" i="85" s="1"/>
  <c r="B45" i="84"/>
  <c r="B47" i="85" s="1"/>
  <c r="B46" i="84"/>
  <c r="B48" i="85" s="1"/>
  <c r="B47" i="84"/>
  <c r="B49" i="85" s="1"/>
  <c r="B48" i="84"/>
  <c r="B50" i="85" s="1"/>
  <c r="B49" i="84"/>
  <c r="B51" i="85" s="1"/>
  <c r="B50" i="84"/>
  <c r="B62" i="85" s="1"/>
  <c r="B51" i="84"/>
  <c r="B63" i="85" s="1"/>
  <c r="B52" i="84"/>
  <c r="B64" i="85" s="1"/>
  <c r="B53" i="84"/>
  <c r="B67" i="85" s="1"/>
  <c r="B54" i="84"/>
  <c r="B68" i="85" s="1"/>
  <c r="B55" i="84"/>
  <c r="B69" i="85" s="1"/>
  <c r="B56" i="84"/>
  <c r="B72" i="85" s="1"/>
  <c r="B57" i="84"/>
  <c r="B73" i="85" s="1"/>
  <c r="B58" i="84"/>
  <c r="B74" i="85" s="1"/>
  <c r="B59" i="84"/>
  <c r="B75" i="85" s="1"/>
  <c r="B60" i="84"/>
  <c r="B76" i="85" s="1"/>
  <c r="B61" i="84"/>
  <c r="B77" i="85" s="1"/>
  <c r="B62" i="84"/>
  <c r="B78" i="85" s="1"/>
  <c r="B63" i="84"/>
  <c r="B81" i="85" s="1"/>
  <c r="B64" i="84"/>
  <c r="B82" i="85" s="1"/>
  <c r="B65" i="84"/>
  <c r="B83" i="85" s="1"/>
  <c r="B71" i="84"/>
  <c r="B84" i="85" s="1"/>
  <c r="B3" i="85"/>
  <c r="B4" i="82" s="1"/>
  <c r="D34" i="82" l="1"/>
  <c r="I57" i="82"/>
  <c r="G59" i="82"/>
  <c r="I54" i="82"/>
  <c r="H53" i="82"/>
  <c r="G52" i="82"/>
  <c r="F51" i="82"/>
  <c r="E50" i="82"/>
  <c r="D50" i="82"/>
  <c r="G47" i="82"/>
  <c r="D45" i="82"/>
  <c r="H36" i="82"/>
  <c r="G38" i="82"/>
  <c r="F40" i="82"/>
  <c r="F32" i="82"/>
  <c r="D41" i="82"/>
  <c r="D33" i="82"/>
  <c r="I56" i="82"/>
  <c r="G58" i="82"/>
  <c r="I53" i="82"/>
  <c r="H52" i="82"/>
  <c r="G51" i="82"/>
  <c r="F50" i="82"/>
  <c r="E49" i="82"/>
  <c r="D49" i="82"/>
  <c r="G46" i="82"/>
  <c r="I33" i="82"/>
  <c r="H35" i="82"/>
  <c r="G37" i="82"/>
  <c r="F39" i="82"/>
  <c r="E38" i="82"/>
  <c r="D40" i="82"/>
  <c r="D32" i="82"/>
  <c r="I55" i="82"/>
  <c r="G57" i="82"/>
  <c r="H51" i="82"/>
  <c r="G50" i="82"/>
  <c r="F49" i="82"/>
  <c r="E48" i="82"/>
  <c r="I47" i="82"/>
  <c r="G45" i="82"/>
  <c r="I40" i="82"/>
  <c r="I32" i="82"/>
  <c r="D39" i="82"/>
  <c r="H59" i="82"/>
  <c r="G56" i="82"/>
  <c r="I51" i="82"/>
  <c r="H50" i="82"/>
  <c r="G49" i="82"/>
  <c r="F48" i="82"/>
  <c r="F47" i="82"/>
  <c r="I46" i="82"/>
  <c r="F46" i="82"/>
  <c r="I39" i="82"/>
  <c r="H41" i="82"/>
  <c r="H33" i="82"/>
  <c r="G35" i="82"/>
  <c r="F37" i="82"/>
  <c r="E36" i="82"/>
  <c r="D38" i="82"/>
  <c r="F59" i="82"/>
  <c r="F54" i="82"/>
  <c r="D53" i="82"/>
  <c r="H47" i="82"/>
  <c r="I37" i="82"/>
  <c r="G41" i="82"/>
  <c r="G33" i="82"/>
  <c r="E34" i="82"/>
  <c r="H56" i="82"/>
  <c r="I48" i="82"/>
  <c r="F53" i="82"/>
  <c r="D52" i="82"/>
  <c r="E46" i="82"/>
  <c r="H38" i="82"/>
  <c r="G32" i="82"/>
  <c r="F34" i="82"/>
  <c r="D35" i="82"/>
  <c r="H55" i="82"/>
  <c r="G53" i="82"/>
  <c r="E51" i="82"/>
  <c r="H45" i="82"/>
  <c r="I35" i="82"/>
  <c r="H37" i="82"/>
  <c r="F41" i="82"/>
  <c r="E32" i="82"/>
  <c r="G36" i="82"/>
  <c r="E37" i="82"/>
  <c r="H58" i="82"/>
  <c r="G55" i="82"/>
  <c r="H49" i="82"/>
  <c r="G48" i="82"/>
  <c r="E54" i="82"/>
  <c r="D54" i="82"/>
  <c r="I45" i="82"/>
  <c r="F45" i="82"/>
  <c r="I38" i="82"/>
  <c r="H40" i="82"/>
  <c r="H32" i="82"/>
  <c r="G34" i="82"/>
  <c r="F36" i="82"/>
  <c r="E35" i="82"/>
  <c r="D37" i="82"/>
  <c r="H57" i="82"/>
  <c r="I49" i="82"/>
  <c r="H48" i="82"/>
  <c r="E53" i="82"/>
  <c r="E47" i="82"/>
  <c r="H39" i="82"/>
  <c r="F35" i="82"/>
  <c r="D36" i="82"/>
  <c r="I59" i="82"/>
  <c r="F58" i="82"/>
  <c r="G54" i="82"/>
  <c r="E52" i="82"/>
  <c r="H46" i="82"/>
  <c r="I36" i="82"/>
  <c r="G40" i="82"/>
  <c r="E33" i="82"/>
  <c r="I58" i="82"/>
  <c r="H54" i="82"/>
  <c r="F52" i="82"/>
  <c r="D51" i="82"/>
  <c r="E45" i="82"/>
  <c r="G39" i="82"/>
  <c r="F33" i="82"/>
  <c r="H34" i="82"/>
  <c r="F38" i="82"/>
  <c r="I29" i="82"/>
  <c r="H27" i="82"/>
  <c r="F31" i="82"/>
  <c r="E26" i="82"/>
  <c r="I28" i="82"/>
  <c r="H26" i="82"/>
  <c r="F30" i="82"/>
  <c r="D31" i="82"/>
  <c r="G31" i="82"/>
  <c r="F29" i="82"/>
  <c r="D30" i="82"/>
  <c r="I26" i="82"/>
  <c r="G30" i="82"/>
  <c r="F28" i="82"/>
  <c r="D29" i="82"/>
  <c r="G29" i="82"/>
  <c r="D28" i="82"/>
  <c r="G28" i="82"/>
  <c r="F26" i="82"/>
  <c r="G27" i="82"/>
  <c r="I30" i="82"/>
  <c r="G26" i="82"/>
  <c r="E27" i="82"/>
  <c r="I27" i="82"/>
  <c r="H31" i="82"/>
  <c r="F27" i="82"/>
  <c r="H30" i="82"/>
  <c r="D27" i="82"/>
  <c r="H29" i="82"/>
  <c r="E28" i="82"/>
  <c r="H28" i="82"/>
  <c r="D26" i="82"/>
  <c r="I42" i="82"/>
  <c r="F44" i="82"/>
  <c r="I18" i="82"/>
  <c r="G20" i="82"/>
  <c r="E22" i="82"/>
  <c r="D19" i="82"/>
  <c r="H44" i="82"/>
  <c r="F43" i="82"/>
  <c r="H22" i="82"/>
  <c r="G19" i="82"/>
  <c r="E21" i="82"/>
  <c r="E19" i="82"/>
  <c r="G44" i="82"/>
  <c r="F21" i="82"/>
  <c r="G43" i="82"/>
  <c r="F20" i="82"/>
  <c r="G42" i="82"/>
  <c r="F19" i="82"/>
  <c r="I43" i="82"/>
  <c r="G21" i="82"/>
  <c r="H43" i="82"/>
  <c r="F42" i="82"/>
  <c r="H21" i="82"/>
  <c r="G18" i="82"/>
  <c r="E20" i="82"/>
  <c r="H42" i="82"/>
  <c r="D43" i="82"/>
  <c r="H20" i="82"/>
  <c r="F22" i="82"/>
  <c r="H19" i="82"/>
  <c r="E18" i="82"/>
  <c r="H18" i="82"/>
  <c r="I44" i="82"/>
  <c r="G22" i="82"/>
  <c r="D44" i="82"/>
  <c r="F18" i="82"/>
  <c r="I21" i="82"/>
  <c r="D22" i="82"/>
  <c r="I20" i="82"/>
  <c r="D21" i="82"/>
  <c r="I19" i="82"/>
  <c r="D20" i="82"/>
  <c r="I15" i="82"/>
  <c r="G17" i="82"/>
  <c r="F14" i="82"/>
  <c r="D16" i="82"/>
  <c r="H10" i="82"/>
  <c r="G8" i="82"/>
  <c r="D12" i="82"/>
  <c r="D10" i="82"/>
  <c r="C8" i="82"/>
  <c r="I14" i="82"/>
  <c r="G16" i="82"/>
  <c r="F13" i="82"/>
  <c r="D15" i="82"/>
  <c r="I11" i="82"/>
  <c r="H9" i="82"/>
  <c r="G7" i="82"/>
  <c r="E12" i="82"/>
  <c r="D9" i="82"/>
  <c r="H17" i="82"/>
  <c r="E16" i="82"/>
  <c r="I9" i="82"/>
  <c r="F11" i="82"/>
  <c r="E11" i="82"/>
  <c r="I8" i="82"/>
  <c r="C12" i="82"/>
  <c r="F17" i="82"/>
  <c r="I7" i="82"/>
  <c r="H14" i="82"/>
  <c r="E13" i="82"/>
  <c r="F8" i="82"/>
  <c r="C14" i="82"/>
  <c r="D11" i="82"/>
  <c r="I13" i="82"/>
  <c r="G15" i="82"/>
  <c r="E17" i="82"/>
  <c r="D14" i="82"/>
  <c r="H8" i="82"/>
  <c r="F12" i="82"/>
  <c r="E7" i="82"/>
  <c r="D8" i="82"/>
  <c r="G14" i="82"/>
  <c r="D13" i="82"/>
  <c r="H7" i="82"/>
  <c r="D7" i="82"/>
  <c r="G12" i="82"/>
  <c r="E10" i="82"/>
  <c r="H15" i="82"/>
  <c r="C16" i="82"/>
  <c r="F9" i="82"/>
  <c r="E9" i="82"/>
  <c r="C15" i="82"/>
  <c r="E8" i="82"/>
  <c r="H13" i="82"/>
  <c r="H11" i="82"/>
  <c r="F7" i="82"/>
  <c r="H16" i="82"/>
  <c r="G13" i="82"/>
  <c r="E15" i="82"/>
  <c r="C17" i="82"/>
  <c r="F10" i="82"/>
  <c r="E14" i="82"/>
  <c r="G11" i="82"/>
  <c r="C11" i="82"/>
  <c r="F16" i="82"/>
  <c r="H12" i="82"/>
  <c r="G10" i="82"/>
  <c r="C10" i="82"/>
  <c r="F15" i="82"/>
  <c r="D17" i="82"/>
  <c r="G9" i="82"/>
  <c r="C9" i="82"/>
  <c r="G60" i="82"/>
  <c r="H61" i="82"/>
  <c r="F60" i="82"/>
  <c r="I61" i="82"/>
  <c r="E60" i="82"/>
  <c r="D62" i="82"/>
  <c r="D60" i="82"/>
  <c r="E62" i="82"/>
  <c r="D61" i="82"/>
  <c r="F62" i="82"/>
  <c r="E61" i="82"/>
  <c r="G62" i="82"/>
  <c r="I60" i="82"/>
  <c r="F61" i="82"/>
  <c r="H62" i="82"/>
  <c r="H60" i="82"/>
  <c r="I62" i="82"/>
  <c r="G61" i="82"/>
  <c r="I25" i="82"/>
  <c r="I24" i="82"/>
  <c r="I23" i="82"/>
  <c r="C7" i="82"/>
  <c r="E25" i="82"/>
  <c r="G23" i="82"/>
  <c r="D18" i="82"/>
  <c r="C33" i="82"/>
  <c r="D25" i="82"/>
  <c r="F23" i="82"/>
  <c r="C32" i="82"/>
  <c r="D23" i="82"/>
  <c r="C27" i="82"/>
  <c r="D42" i="82"/>
  <c r="C45" i="82"/>
  <c r="F25" i="82"/>
  <c r="F55" i="82"/>
  <c r="H24" i="82"/>
  <c r="E23" i="82"/>
  <c r="C28" i="82"/>
  <c r="G24" i="82"/>
  <c r="D24" i="82"/>
  <c r="H23" i="82"/>
  <c r="C34" i="82"/>
  <c r="F24" i="82"/>
  <c r="C26" i="82"/>
  <c r="H25" i="82"/>
  <c r="E24" i="82"/>
  <c r="C13" i="82"/>
  <c r="G25" i="82"/>
  <c r="D48" i="82"/>
  <c r="B39" i="85"/>
  <c r="B37" i="84"/>
  <c r="B38" i="85" s="1"/>
  <c r="B36" i="84"/>
  <c r="B37" i="85" s="1"/>
  <c r="B35" i="84"/>
  <c r="B36" i="85" s="1"/>
  <c r="B34" i="84"/>
  <c r="B35" i="85" s="1"/>
  <c r="B33" i="84"/>
  <c r="B32" i="85" s="1"/>
  <c r="B32" i="84"/>
  <c r="B31" i="85" s="1"/>
  <c r="B31" i="84"/>
  <c r="B30" i="85" s="1"/>
  <c r="B30" i="84"/>
  <c r="B28" i="85" s="1"/>
  <c r="B29" i="84"/>
  <c r="B26" i="85" s="1"/>
  <c r="B28" i="84"/>
  <c r="B27" i="85" s="1"/>
  <c r="B27" i="84"/>
  <c r="B25" i="85" s="1"/>
  <c r="B26" i="84"/>
  <c r="B24" i="85" s="1"/>
  <c r="B25" i="84"/>
  <c r="B22" i="85" s="1"/>
  <c r="B24" i="84"/>
  <c r="B20" i="85" s="1"/>
  <c r="B23" i="84"/>
  <c r="B21" i="85" s="1"/>
  <c r="B22" i="84"/>
  <c r="B19" i="85" s="1"/>
  <c r="B21" i="84"/>
  <c r="B18" i="85" s="1"/>
  <c r="B20" i="84"/>
  <c r="B59" i="85" s="1"/>
  <c r="B19" i="84"/>
  <c r="B58" i="85" s="1"/>
  <c r="B18" i="84"/>
  <c r="B57" i="85" s="1"/>
  <c r="B17" i="84"/>
  <c r="B56" i="85" s="1"/>
  <c r="B16" i="84"/>
  <c r="B55" i="85" s="1"/>
  <c r="B54" i="85"/>
  <c r="B12" i="84"/>
  <c r="B11" i="84"/>
  <c r="B10" i="84"/>
  <c r="B9" i="84"/>
  <c r="A9" i="84" s="1"/>
  <c r="B8" i="84"/>
  <c r="A8" i="84" s="1"/>
  <c r="A12" i="84" l="1"/>
  <c r="K7" i="85"/>
  <c r="A10" i="84"/>
  <c r="A11" i="84"/>
  <c r="A39" i="84"/>
  <c r="A38" i="84"/>
  <c r="A37" i="84"/>
  <c r="A36" i="84"/>
  <c r="A35" i="84"/>
  <c r="A34" i="84"/>
  <c r="A33" i="84"/>
  <c r="A32" i="84"/>
  <c r="A31" i="84"/>
  <c r="A30" i="84"/>
  <c r="A29" i="84"/>
  <c r="A28" i="84"/>
  <c r="A27" i="84"/>
  <c r="A26" i="84"/>
  <c r="A25" i="84"/>
  <c r="A24" i="84"/>
  <c r="A23" i="84"/>
  <c r="A22" i="84"/>
  <c r="A21" i="84"/>
  <c r="A20" i="84"/>
  <c r="A19" i="84"/>
  <c r="A18" i="84"/>
  <c r="A17" i="84"/>
  <c r="A16" i="84"/>
  <c r="A15" i="84"/>
  <c r="C3" i="84"/>
  <c r="G7" i="84" s="1"/>
  <c r="F7" i="84" s="1"/>
  <c r="D9" i="83"/>
  <c r="D8" i="83"/>
  <c r="D7" i="83"/>
  <c r="D6" i="83"/>
  <c r="D5" i="83"/>
  <c r="E7" i="84" l="1"/>
  <c r="C4" i="84"/>
  <c r="D7" i="84" l="1"/>
  <c r="U53" i="76"/>
  <c r="S53" i="76"/>
  <c r="R53" i="76"/>
  <c r="T53" i="76" l="1"/>
  <c r="C7" i="84"/>
  <c r="V53" i="76"/>
  <c r="R53" i="63"/>
  <c r="BI53" i="68" l="1"/>
  <c r="A1" i="59" l="1"/>
  <c r="A2" i="59" s="1"/>
  <c r="AU6" i="64"/>
  <c r="H87" i="59" l="1"/>
  <c r="D84" i="59"/>
  <c r="D82" i="59"/>
  <c r="F80" i="59"/>
  <c r="I74" i="59"/>
  <c r="F87" i="59"/>
  <c r="H85" i="59"/>
  <c r="B84" i="59"/>
  <c r="B82" i="59"/>
  <c r="D80" i="59"/>
  <c r="H74" i="59"/>
  <c r="F81" i="59"/>
  <c r="F86" i="59"/>
  <c r="D81" i="59"/>
  <c r="H84" i="59"/>
  <c r="J71" i="59"/>
  <c r="F84" i="59"/>
  <c r="J70" i="59"/>
  <c r="D87" i="59"/>
  <c r="F85" i="59"/>
  <c r="H83" i="59"/>
  <c r="B80" i="59"/>
  <c r="I71" i="59"/>
  <c r="B87" i="59"/>
  <c r="D85" i="59"/>
  <c r="F83" i="59"/>
  <c r="H81" i="59"/>
  <c r="K74" i="59"/>
  <c r="H71" i="59"/>
  <c r="B85" i="59"/>
  <c r="D83" i="59"/>
  <c r="J74" i="59"/>
  <c r="K71" i="59"/>
  <c r="D86" i="59"/>
  <c r="B81" i="59"/>
  <c r="B86" i="59"/>
  <c r="H80" i="59"/>
  <c r="H86" i="59"/>
  <c r="H70" i="59"/>
  <c r="B83" i="59"/>
  <c r="H88" i="59"/>
  <c r="H82" i="59"/>
  <c r="F82" i="59"/>
  <c r="G71" i="59"/>
  <c r="D74" i="59"/>
  <c r="F74" i="59"/>
  <c r="F71" i="59"/>
  <c r="F70" i="59"/>
  <c r="E74" i="59"/>
  <c r="G74" i="59"/>
  <c r="J64" i="59"/>
  <c r="I63" i="59"/>
  <c r="F63" i="59"/>
  <c r="E62" i="59"/>
  <c r="B62" i="59"/>
  <c r="G56" i="59"/>
  <c r="J63" i="59"/>
  <c r="F62" i="59"/>
  <c r="K56" i="59"/>
  <c r="H62" i="59"/>
  <c r="C64" i="59"/>
  <c r="E56" i="59"/>
  <c r="C63" i="59"/>
  <c r="H56" i="59"/>
  <c r="H64" i="59"/>
  <c r="C62" i="59"/>
  <c r="H63" i="59"/>
  <c r="G62" i="59"/>
  <c r="D62" i="59"/>
  <c r="B61" i="59"/>
  <c r="F56" i="59"/>
  <c r="I62" i="59"/>
  <c r="D61" i="59"/>
  <c r="F55" i="59"/>
  <c r="F61" i="59"/>
  <c r="J56" i="59"/>
  <c r="D64" i="59"/>
  <c r="I56" i="59"/>
  <c r="F64" i="59"/>
  <c r="B63" i="59"/>
  <c r="K64" i="59"/>
  <c r="G63" i="59"/>
  <c r="H55" i="59"/>
  <c r="J62" i="59"/>
  <c r="H61" i="59"/>
  <c r="E64" i="59"/>
  <c r="B64" i="59"/>
  <c r="J55" i="59"/>
  <c r="D56" i="59"/>
  <c r="J61" i="59"/>
  <c r="G64" i="59"/>
  <c r="D55" i="59"/>
  <c r="I64" i="59"/>
  <c r="E63" i="59"/>
  <c r="C56" i="59"/>
  <c r="D63" i="59"/>
  <c r="B56" i="59"/>
  <c r="J49" i="59"/>
  <c r="D48" i="59"/>
  <c r="H45" i="59"/>
  <c r="F44" i="59"/>
  <c r="J45" i="59"/>
  <c r="H44" i="59"/>
  <c r="H49" i="59"/>
  <c r="H43" i="59"/>
  <c r="J44" i="59"/>
  <c r="H42" i="59"/>
  <c r="F48" i="59"/>
  <c r="E44" i="59"/>
  <c r="E49" i="59"/>
  <c r="F45" i="59"/>
  <c r="K49" i="59"/>
  <c r="D49" i="59"/>
  <c r="G44" i="59"/>
  <c r="J48" i="59"/>
  <c r="I44" i="59"/>
  <c r="F43" i="59"/>
  <c r="I49" i="59"/>
  <c r="F42" i="59"/>
  <c r="E45" i="59"/>
  <c r="H48" i="59"/>
  <c r="D45" i="59"/>
  <c r="J43" i="59"/>
  <c r="G45" i="59"/>
  <c r="B55" i="59"/>
  <c r="D44" i="59"/>
  <c r="I45" i="59"/>
  <c r="J42" i="59"/>
  <c r="C45" i="59"/>
  <c r="B45" i="59"/>
  <c r="C44" i="59"/>
  <c r="B44" i="59"/>
  <c r="B43" i="59"/>
  <c r="B42" i="59"/>
  <c r="D43" i="59"/>
  <c r="J40" i="59"/>
  <c r="D42" i="59"/>
  <c r="J35" i="59"/>
  <c r="J30" i="59"/>
  <c r="I31" i="59"/>
  <c r="G32" i="59"/>
  <c r="E33" i="59"/>
  <c r="B33" i="59"/>
  <c r="J26" i="59"/>
  <c r="H25" i="59"/>
  <c r="E25" i="59"/>
  <c r="K13" i="59"/>
  <c r="G14" i="59"/>
  <c r="D13" i="59"/>
  <c r="I27" i="59"/>
  <c r="H33" i="59"/>
  <c r="B24" i="59"/>
  <c r="D35" i="59"/>
  <c r="D27" i="59"/>
  <c r="F33" i="59"/>
  <c r="I25" i="59"/>
  <c r="J34" i="59"/>
  <c r="I35" i="59"/>
  <c r="H31" i="59"/>
  <c r="F32" i="59"/>
  <c r="D33" i="59"/>
  <c r="C32" i="59"/>
  <c r="K25" i="59"/>
  <c r="H24" i="59"/>
  <c r="D25" i="59"/>
  <c r="J13" i="59"/>
  <c r="F14" i="59"/>
  <c r="D12" i="59"/>
  <c r="H35" i="59"/>
  <c r="G31" i="59"/>
  <c r="B32" i="59"/>
  <c r="G25" i="59"/>
  <c r="D24" i="59"/>
  <c r="G13" i="59"/>
  <c r="F25" i="59"/>
  <c r="F13" i="59"/>
  <c r="I33" i="59"/>
  <c r="F30" i="59"/>
  <c r="F24" i="59"/>
  <c r="F12" i="59"/>
  <c r="E35" i="59"/>
  <c r="E27" i="59"/>
  <c r="I32" i="59"/>
  <c r="H26" i="59"/>
  <c r="C33" i="59"/>
  <c r="J33" i="59"/>
  <c r="H30" i="59"/>
  <c r="E32" i="59"/>
  <c r="J25" i="59"/>
  <c r="J12" i="59"/>
  <c r="C25" i="59"/>
  <c r="K32" i="59"/>
  <c r="F35" i="59"/>
  <c r="B31" i="59"/>
  <c r="B25" i="59"/>
  <c r="F34" i="59"/>
  <c r="H27" i="59"/>
  <c r="D14" i="59"/>
  <c r="D34" i="59"/>
  <c r="J14" i="59"/>
  <c r="K33" i="59"/>
  <c r="H34" i="59"/>
  <c r="G35" i="59"/>
  <c r="F31" i="59"/>
  <c r="D32" i="59"/>
  <c r="C31" i="59"/>
  <c r="J24" i="59"/>
  <c r="I14" i="59"/>
  <c r="E31" i="59"/>
  <c r="H14" i="59"/>
  <c r="B30" i="59"/>
  <c r="I13" i="59"/>
  <c r="G33" i="59"/>
  <c r="H13" i="59"/>
  <c r="H32" i="59"/>
  <c r="J27" i="59"/>
  <c r="H12" i="59"/>
  <c r="J32" i="59"/>
  <c r="D31" i="59"/>
  <c r="E14" i="59"/>
  <c r="D30" i="59"/>
  <c r="J31" i="59"/>
  <c r="D26" i="59"/>
  <c r="E13" i="59"/>
  <c r="C13" i="59"/>
  <c r="I9" i="59"/>
  <c r="F8" i="59"/>
  <c r="B9" i="59"/>
  <c r="B13" i="59"/>
  <c r="H9" i="59"/>
  <c r="F7" i="59"/>
  <c r="C8" i="59"/>
  <c r="I8" i="59"/>
  <c r="B8" i="59"/>
  <c r="D9" i="59"/>
  <c r="B7" i="59"/>
  <c r="H7" i="59"/>
  <c r="E8" i="59"/>
  <c r="D8" i="59"/>
  <c r="C14" i="59"/>
  <c r="F9" i="59"/>
  <c r="B14" i="59"/>
  <c r="C9" i="59"/>
  <c r="B12" i="59"/>
  <c r="E9" i="59"/>
  <c r="H8" i="59"/>
  <c r="J9" i="59"/>
  <c r="G9" i="59"/>
  <c r="J8" i="59"/>
  <c r="D7" i="59"/>
  <c r="J7" i="59"/>
  <c r="G8" i="59"/>
  <c r="K79" i="59"/>
  <c r="F17" i="59"/>
  <c r="F40" i="59"/>
  <c r="B18" i="59"/>
  <c r="D40" i="59"/>
  <c r="C18" i="59"/>
  <c r="B40" i="59"/>
  <c r="D18" i="59"/>
  <c r="E18" i="59"/>
  <c r="F18" i="59"/>
  <c r="B17" i="59"/>
  <c r="D17" i="59"/>
  <c r="G18" i="59"/>
  <c r="H40" i="59"/>
  <c r="I88" i="59"/>
  <c r="D70" i="59"/>
  <c r="G87" i="59"/>
  <c r="C86" i="59"/>
  <c r="G83" i="59"/>
  <c r="C82" i="59"/>
  <c r="H79" i="59"/>
  <c r="C84" i="59"/>
  <c r="E83" i="59"/>
  <c r="I87" i="59"/>
  <c r="E86" i="59"/>
  <c r="I83" i="59"/>
  <c r="E82" i="59"/>
  <c r="F79" i="59"/>
  <c r="G81" i="59"/>
  <c r="F26" i="59"/>
  <c r="G80" i="59"/>
  <c r="G86" i="59"/>
  <c r="C85" i="59"/>
  <c r="G82" i="59"/>
  <c r="C81" i="59"/>
  <c r="D79" i="59"/>
  <c r="G85" i="59"/>
  <c r="C79" i="59"/>
  <c r="G79" i="59"/>
  <c r="E87" i="59"/>
  <c r="I84" i="59"/>
  <c r="I80" i="59"/>
  <c r="I86" i="59"/>
  <c r="E85" i="59"/>
  <c r="I82" i="59"/>
  <c r="E81" i="59"/>
  <c r="B79" i="59"/>
  <c r="F27" i="59"/>
  <c r="C80" i="59"/>
  <c r="I85" i="59"/>
  <c r="E84" i="59"/>
  <c r="I81" i="59"/>
  <c r="E80" i="59"/>
  <c r="E79" i="59"/>
  <c r="G27" i="59"/>
  <c r="C87" i="59"/>
  <c r="G84" i="59"/>
  <c r="C83" i="59"/>
  <c r="I79" i="59"/>
  <c r="I18" i="59"/>
  <c r="H17" i="59"/>
  <c r="H18" i="59"/>
  <c r="G49" i="59"/>
  <c r="F49" i="59"/>
  <c r="S7" i="71"/>
  <c r="S9" i="71"/>
  <c r="S10" i="71"/>
  <c r="S11" i="71"/>
  <c r="S12" i="71"/>
  <c r="S13" i="71"/>
  <c r="S14" i="71"/>
  <c r="S15" i="71"/>
  <c r="S16" i="71"/>
  <c r="S17" i="71"/>
  <c r="S18" i="71"/>
  <c r="S19" i="71"/>
  <c r="S20" i="71"/>
  <c r="S21" i="71"/>
  <c r="S22" i="71"/>
  <c r="S23" i="71"/>
  <c r="S24" i="71"/>
  <c r="S25" i="71"/>
  <c r="S26" i="71"/>
  <c r="S27" i="71"/>
  <c r="S28" i="71"/>
  <c r="S29" i="71"/>
  <c r="S30" i="71"/>
  <c r="S31" i="71"/>
  <c r="S32" i="71"/>
  <c r="S33" i="71"/>
  <c r="S34" i="71"/>
  <c r="S35" i="71"/>
  <c r="S36" i="71"/>
  <c r="S37" i="71"/>
  <c r="S38" i="71"/>
  <c r="S39" i="71"/>
  <c r="S8" i="71"/>
  <c r="S41" i="71"/>
  <c r="S42" i="71"/>
  <c r="S43" i="71"/>
  <c r="S44" i="71"/>
  <c r="S45" i="71"/>
  <c r="S46" i="71"/>
  <c r="S48" i="71"/>
  <c r="S47" i="71"/>
  <c r="S49" i="71"/>
  <c r="S50" i="71"/>
  <c r="S51" i="71"/>
  <c r="S40" i="71"/>
  <c r="S6" i="71"/>
  <c r="R53" i="71"/>
  <c r="Q53" i="71"/>
  <c r="BO7" i="68"/>
  <c r="BO9" i="68"/>
  <c r="BO10" i="68"/>
  <c r="BO11" i="68"/>
  <c r="BO12" i="68"/>
  <c r="BO13" i="68"/>
  <c r="BO14" i="68"/>
  <c r="BO15" i="68"/>
  <c r="BO16" i="68"/>
  <c r="BO18" i="68"/>
  <c r="BO19" i="68"/>
  <c r="BO20" i="68"/>
  <c r="BO22" i="68"/>
  <c r="BO24" i="68"/>
  <c r="BO26" i="68"/>
  <c r="BO27" i="68"/>
  <c r="BO28" i="68"/>
  <c r="BO29" i="68"/>
  <c r="BO30" i="68"/>
  <c r="BO31" i="68"/>
  <c r="BO32" i="68"/>
  <c r="BO33" i="68"/>
  <c r="BO34" i="68"/>
  <c r="BO35" i="68"/>
  <c r="BO36" i="68"/>
  <c r="BO37" i="68"/>
  <c r="BO38" i="68"/>
  <c r="BO41" i="68"/>
  <c r="BO42" i="68"/>
  <c r="BO43" i="68"/>
  <c r="BO44" i="68"/>
  <c r="BO48" i="68"/>
  <c r="BO47" i="68"/>
  <c r="BO49" i="68"/>
  <c r="BO50" i="68"/>
  <c r="BO51" i="68"/>
  <c r="I41" i="82" s="1"/>
  <c r="BO40" i="68"/>
  <c r="BO6" i="68"/>
  <c r="BN53" i="68"/>
  <c r="BM53" i="68"/>
  <c r="AU53" i="70"/>
  <c r="AV53" i="70"/>
  <c r="AT7" i="70"/>
  <c r="AT9" i="70"/>
  <c r="AT10" i="70"/>
  <c r="AT11" i="70"/>
  <c r="AT13" i="70"/>
  <c r="AT14" i="70"/>
  <c r="AT17" i="70"/>
  <c r="AT19" i="70"/>
  <c r="AT23" i="70"/>
  <c r="AT24" i="70"/>
  <c r="AT26" i="70"/>
  <c r="AT27" i="70"/>
  <c r="AT28" i="70"/>
  <c r="AT29" i="70"/>
  <c r="AT30" i="70"/>
  <c r="AT31" i="70"/>
  <c r="AT32" i="70"/>
  <c r="AT33" i="70"/>
  <c r="AT34" i="70"/>
  <c r="AT35" i="70"/>
  <c r="AT36" i="70"/>
  <c r="AT37" i="70"/>
  <c r="AT39" i="70"/>
  <c r="AT42" i="70"/>
  <c r="AT51" i="70"/>
  <c r="I52" i="82" s="1"/>
  <c r="AT40" i="70"/>
  <c r="AS53" i="70"/>
  <c r="AR7" i="70"/>
  <c r="AR9" i="70"/>
  <c r="AR10" i="70"/>
  <c r="AR11" i="70"/>
  <c r="AR13" i="70"/>
  <c r="AR14" i="70"/>
  <c r="AR17" i="70"/>
  <c r="AR19" i="70"/>
  <c r="AR22" i="70"/>
  <c r="AR23" i="70"/>
  <c r="AR24" i="70"/>
  <c r="AR26" i="70"/>
  <c r="AR27" i="70"/>
  <c r="AR28" i="70"/>
  <c r="AR29" i="70"/>
  <c r="AR30" i="70"/>
  <c r="AR31" i="70"/>
  <c r="AR32" i="70"/>
  <c r="AR33" i="70"/>
  <c r="AR34" i="70"/>
  <c r="AR35" i="70"/>
  <c r="AR36" i="70"/>
  <c r="AR37" i="70"/>
  <c r="AR39" i="70"/>
  <c r="AR42" i="70"/>
  <c r="AR51" i="70"/>
  <c r="I50" i="82" s="1"/>
  <c r="AR40" i="70"/>
  <c r="AR6" i="70"/>
  <c r="AQ53" i="70"/>
  <c r="X53" i="69"/>
  <c r="W53" i="69"/>
  <c r="BJ53" i="68"/>
  <c r="BK53" i="68"/>
  <c r="BL53" i="68"/>
  <c r="BH7" i="68"/>
  <c r="BH9" i="68"/>
  <c r="BH10" i="68"/>
  <c r="BH11" i="68"/>
  <c r="BH13" i="68"/>
  <c r="BH14" i="68"/>
  <c r="BH15" i="68"/>
  <c r="BH16" i="68"/>
  <c r="BH18" i="68"/>
  <c r="BH19" i="68"/>
  <c r="BH20" i="68"/>
  <c r="BH22" i="68"/>
  <c r="BH24" i="68"/>
  <c r="BH26" i="68"/>
  <c r="BH27" i="68"/>
  <c r="BH28" i="68"/>
  <c r="BH29" i="68"/>
  <c r="BH30" i="68"/>
  <c r="BH31" i="68"/>
  <c r="BH32" i="68"/>
  <c r="BH33" i="68"/>
  <c r="BH34" i="68"/>
  <c r="BH35" i="68"/>
  <c r="BH36" i="68"/>
  <c r="BH37" i="68"/>
  <c r="BH38" i="68"/>
  <c r="BH41" i="68"/>
  <c r="BH42" i="68"/>
  <c r="BH43" i="68"/>
  <c r="BH44" i="68"/>
  <c r="BH48" i="68"/>
  <c r="BH47" i="68"/>
  <c r="BH49" i="68"/>
  <c r="BH50" i="68"/>
  <c r="BH51" i="68"/>
  <c r="BH40" i="68"/>
  <c r="BH6" i="68"/>
  <c r="BG53" i="68"/>
  <c r="BF53" i="68"/>
  <c r="AP53" i="67"/>
  <c r="AO53" i="67"/>
  <c r="AN53" i="67"/>
  <c r="AM53" i="67"/>
  <c r="AL53" i="67"/>
  <c r="AQ40" i="67"/>
  <c r="AQ51" i="67"/>
  <c r="I31" i="82" s="1"/>
  <c r="AQ50" i="67"/>
  <c r="AQ49" i="67"/>
  <c r="AQ47" i="67"/>
  <c r="AQ48" i="67"/>
  <c r="AQ46" i="67"/>
  <c r="AQ45" i="67"/>
  <c r="AQ44" i="67"/>
  <c r="AQ43" i="67"/>
  <c r="AQ42" i="67"/>
  <c r="AQ41" i="67"/>
  <c r="AQ39" i="67"/>
  <c r="AQ38" i="67"/>
  <c r="AQ37" i="67"/>
  <c r="AQ36" i="67"/>
  <c r="AQ35" i="67"/>
  <c r="AQ34" i="67"/>
  <c r="AQ33" i="67"/>
  <c r="AQ32" i="67"/>
  <c r="AQ31" i="67"/>
  <c r="AQ30" i="67"/>
  <c r="AQ29" i="67"/>
  <c r="AQ28" i="67"/>
  <c r="AQ27" i="67"/>
  <c r="AQ26" i="67"/>
  <c r="AQ24" i="67"/>
  <c r="AQ23" i="67"/>
  <c r="AQ22" i="67"/>
  <c r="AQ21" i="67"/>
  <c r="AQ20" i="67"/>
  <c r="AQ19" i="67"/>
  <c r="AQ18" i="67"/>
  <c r="AQ17" i="67"/>
  <c r="AQ16" i="67"/>
  <c r="AQ15" i="67"/>
  <c r="AQ14" i="67"/>
  <c r="AQ13" i="67"/>
  <c r="AQ12" i="67"/>
  <c r="AQ11" i="67"/>
  <c r="AQ10" i="67"/>
  <c r="AQ9" i="67"/>
  <c r="AQ7" i="67"/>
  <c r="AQ6" i="67"/>
  <c r="I22" i="82"/>
  <c r="AI53" i="66"/>
  <c r="AF53" i="66"/>
  <c r="AH53" i="66" s="1"/>
  <c r="AP7" i="65"/>
  <c r="AP9" i="65"/>
  <c r="AP10" i="65"/>
  <c r="AP11" i="65"/>
  <c r="AP12" i="65"/>
  <c r="AP13" i="65"/>
  <c r="AP14" i="65"/>
  <c r="AP15" i="65"/>
  <c r="AP16" i="65"/>
  <c r="AP17" i="65"/>
  <c r="AP18" i="65"/>
  <c r="AP19" i="65"/>
  <c r="AP20" i="65"/>
  <c r="AP21" i="65"/>
  <c r="AP22" i="65"/>
  <c r="AP23" i="65"/>
  <c r="AP24" i="65"/>
  <c r="AP25" i="65"/>
  <c r="AP26" i="65"/>
  <c r="AP27" i="65"/>
  <c r="AP28" i="65"/>
  <c r="AP29" i="65"/>
  <c r="AP30" i="65"/>
  <c r="AP31" i="65"/>
  <c r="AP32" i="65"/>
  <c r="AP33" i="65"/>
  <c r="AP34" i="65"/>
  <c r="AP35" i="65"/>
  <c r="AP36" i="65"/>
  <c r="AP37" i="65"/>
  <c r="AP38" i="65"/>
  <c r="AP39" i="65"/>
  <c r="AP8" i="65"/>
  <c r="AP41" i="65"/>
  <c r="AP42" i="65"/>
  <c r="AP43" i="65"/>
  <c r="AP44" i="65"/>
  <c r="AP45" i="65"/>
  <c r="AP46" i="65"/>
  <c r="AP48" i="65"/>
  <c r="AP47" i="65"/>
  <c r="AP49" i="65"/>
  <c r="AP50" i="65"/>
  <c r="AP51" i="65"/>
  <c r="I17" i="82" s="1"/>
  <c r="AP40" i="65"/>
  <c r="AP6" i="65"/>
  <c r="AN24" i="65"/>
  <c r="AN25" i="65"/>
  <c r="AN26" i="65"/>
  <c r="AN27" i="65"/>
  <c r="AN28" i="65"/>
  <c r="AN29" i="65"/>
  <c r="AN30" i="65"/>
  <c r="AN31" i="65"/>
  <c r="AN32" i="65"/>
  <c r="AN33" i="65"/>
  <c r="AN34" i="65"/>
  <c r="AN35" i="65"/>
  <c r="AN36" i="65"/>
  <c r="AN37" i="65"/>
  <c r="AN38" i="65"/>
  <c r="AN39" i="65"/>
  <c r="AN8" i="65"/>
  <c r="AN41" i="65"/>
  <c r="AN42" i="65"/>
  <c r="AN43" i="65"/>
  <c r="AN44" i="65"/>
  <c r="AN45" i="65"/>
  <c r="AN46" i="65"/>
  <c r="AN48" i="65"/>
  <c r="AN47" i="65"/>
  <c r="AN49" i="65"/>
  <c r="AN50" i="65"/>
  <c r="AN51" i="65"/>
  <c r="I16" i="82" s="1"/>
  <c r="AN40" i="65"/>
  <c r="AN6" i="65"/>
  <c r="AN7" i="65"/>
  <c r="AN9" i="65"/>
  <c r="AN10" i="65"/>
  <c r="AN11" i="65"/>
  <c r="AN12" i="65"/>
  <c r="AN13" i="65"/>
  <c r="AN14" i="65"/>
  <c r="AN15" i="65"/>
  <c r="AN16" i="65"/>
  <c r="AN17" i="65"/>
  <c r="AN18" i="65"/>
  <c r="AN19" i="65"/>
  <c r="AN20" i="65"/>
  <c r="AN21" i="65"/>
  <c r="AN22" i="65"/>
  <c r="AN23" i="65"/>
  <c r="AO53" i="65"/>
  <c r="AM53" i="65"/>
  <c r="AL53" i="65"/>
  <c r="K14" i="59" l="1"/>
  <c r="I34" i="82"/>
  <c r="K8" i="59"/>
  <c r="K62" i="59"/>
  <c r="K63" i="59"/>
  <c r="K27" i="59"/>
  <c r="K35" i="59"/>
  <c r="K31" i="59"/>
  <c r="K9" i="59"/>
  <c r="AN53" i="65"/>
  <c r="AQ53" i="67"/>
  <c r="AR53" i="70"/>
  <c r="AT53" i="70"/>
  <c r="AJ53" i="66"/>
  <c r="BO53" i="68"/>
  <c r="BH53" i="68"/>
  <c r="AP53" i="65"/>
  <c r="S53" i="71"/>
  <c r="AV53" i="64"/>
  <c r="AT53" i="64"/>
  <c r="AS53" i="64"/>
  <c r="AW40" i="64"/>
  <c r="AU40" i="64"/>
  <c r="AW51" i="64"/>
  <c r="AU51" i="64"/>
  <c r="AW50" i="64"/>
  <c r="AU50" i="64"/>
  <c r="AW49" i="64"/>
  <c r="AU49" i="64"/>
  <c r="AW47" i="64"/>
  <c r="AU47" i="64"/>
  <c r="AW48" i="64"/>
  <c r="AU48" i="64"/>
  <c r="AW46" i="64"/>
  <c r="AU46" i="64"/>
  <c r="AW45" i="64"/>
  <c r="AU45" i="64"/>
  <c r="AW44" i="64"/>
  <c r="AU44" i="64"/>
  <c r="AW43" i="64"/>
  <c r="AU43" i="64"/>
  <c r="AW42" i="64"/>
  <c r="AU42" i="64"/>
  <c r="AW41" i="64"/>
  <c r="AU41" i="64"/>
  <c r="AW39" i="64"/>
  <c r="AU39" i="64"/>
  <c r="AW38" i="64"/>
  <c r="AU38" i="64"/>
  <c r="AW37" i="64"/>
  <c r="AU37" i="64"/>
  <c r="AW36" i="64"/>
  <c r="AU36" i="64"/>
  <c r="AW35" i="64"/>
  <c r="AU35" i="64"/>
  <c r="AW34" i="64"/>
  <c r="AU34" i="64"/>
  <c r="AW33" i="64"/>
  <c r="AU33" i="64"/>
  <c r="AW32" i="64"/>
  <c r="AU32" i="64"/>
  <c r="AW31" i="64"/>
  <c r="AU31" i="64"/>
  <c r="AW30" i="64"/>
  <c r="AU30" i="64"/>
  <c r="AW29" i="64"/>
  <c r="AU29" i="64"/>
  <c r="AW28" i="64"/>
  <c r="AU28" i="64"/>
  <c r="AW27" i="64"/>
  <c r="AU27" i="64"/>
  <c r="AW26" i="64"/>
  <c r="AU26" i="64"/>
  <c r="AW25" i="64"/>
  <c r="AU25" i="64"/>
  <c r="AW24" i="64"/>
  <c r="AU24" i="64"/>
  <c r="AW23" i="64"/>
  <c r="AU23" i="64"/>
  <c r="AW22" i="64"/>
  <c r="AU22" i="64"/>
  <c r="AW21" i="64"/>
  <c r="AU21" i="64"/>
  <c r="AW20" i="64"/>
  <c r="AU20" i="64"/>
  <c r="AW19" i="64"/>
  <c r="AU19" i="64"/>
  <c r="AW18" i="64"/>
  <c r="AU18" i="64"/>
  <c r="AW17" i="64"/>
  <c r="AU17" i="64"/>
  <c r="AW16" i="64"/>
  <c r="AU16" i="64"/>
  <c r="AW15" i="64"/>
  <c r="AU15" i="64"/>
  <c r="AW14" i="64"/>
  <c r="AU14" i="64"/>
  <c r="AW13" i="64"/>
  <c r="AU13" i="64"/>
  <c r="AW12" i="64"/>
  <c r="AU12" i="64"/>
  <c r="AW11" i="64"/>
  <c r="AU11" i="64"/>
  <c r="AW10" i="64"/>
  <c r="AU10" i="64"/>
  <c r="AW9" i="64"/>
  <c r="AU9" i="64"/>
  <c r="AW7" i="64"/>
  <c r="AU7" i="64"/>
  <c r="S53" i="63"/>
  <c r="T53" i="63" s="1"/>
  <c r="T6" i="63"/>
  <c r="I10" i="82" l="1"/>
  <c r="K44" i="59"/>
  <c r="I12" i="82"/>
  <c r="K45" i="59"/>
  <c r="AW53" i="64"/>
  <c r="AU53" i="64"/>
  <c r="F6" i="84" l="1"/>
  <c r="G6" i="84"/>
  <c r="D3" i="84"/>
  <c r="E6" i="84"/>
  <c r="D4" i="84"/>
  <c r="D6" i="84"/>
  <c r="C6" i="84"/>
  <c r="D69" i="84" l="1"/>
  <c r="D66" i="84"/>
  <c r="D72" i="84"/>
  <c r="D68" i="84"/>
  <c r="D73" i="84"/>
  <c r="D70" i="84"/>
  <c r="D67" i="84"/>
  <c r="C66" i="84"/>
  <c r="C72" i="84"/>
  <c r="C68" i="84"/>
  <c r="C70" i="84"/>
  <c r="C67" i="84"/>
  <c r="C69" i="84"/>
  <c r="C73" i="84"/>
  <c r="E73" i="84"/>
  <c r="E69" i="84"/>
  <c r="E66" i="84"/>
  <c r="E72" i="84"/>
  <c r="E68" i="84"/>
  <c r="E70" i="84"/>
  <c r="E67" i="84"/>
  <c r="G70" i="84"/>
  <c r="G67" i="84"/>
  <c r="G73" i="84"/>
  <c r="G69" i="84"/>
  <c r="G66" i="84"/>
  <c r="G72" i="84"/>
  <c r="G68" i="84"/>
  <c r="D61" i="85" s="1"/>
  <c r="F67" i="84"/>
  <c r="F73" i="84"/>
  <c r="F69" i="84"/>
  <c r="F66" i="84"/>
  <c r="F72" i="84"/>
  <c r="F70" i="84"/>
  <c r="F68" i="84"/>
  <c r="E61" i="85" s="1"/>
  <c r="D15" i="84"/>
  <c r="D43" i="84"/>
  <c r="D51" i="84"/>
  <c r="D59" i="84"/>
  <c r="D40" i="84"/>
  <c r="D48" i="84"/>
  <c r="D56" i="84"/>
  <c r="D64" i="84"/>
  <c r="D46" i="84"/>
  <c r="D54" i="84"/>
  <c r="D45" i="84"/>
  <c r="D53" i="84"/>
  <c r="D61" i="84"/>
  <c r="D42" i="84"/>
  <c r="D50" i="84"/>
  <c r="D58" i="84"/>
  <c r="D71" i="84"/>
  <c r="D44" i="84"/>
  <c r="D60" i="84"/>
  <c r="D47" i="84"/>
  <c r="D55" i="84"/>
  <c r="D63" i="84"/>
  <c r="D62" i="84"/>
  <c r="D52" i="84"/>
  <c r="D41" i="84"/>
  <c r="D49" i="84"/>
  <c r="D57" i="84"/>
  <c r="D65" i="84"/>
  <c r="C15" i="84"/>
  <c r="C40" i="84"/>
  <c r="C48" i="84"/>
  <c r="C56" i="84"/>
  <c r="C64" i="84"/>
  <c r="C45" i="84"/>
  <c r="C53" i="84"/>
  <c r="C61" i="84"/>
  <c r="C49" i="84"/>
  <c r="C42" i="84"/>
  <c r="C50" i="84"/>
  <c r="C58" i="84"/>
  <c r="C71" i="84"/>
  <c r="C65" i="84"/>
  <c r="C51" i="84"/>
  <c r="C59" i="84"/>
  <c r="C47" i="84"/>
  <c r="C55" i="84"/>
  <c r="C63" i="84"/>
  <c r="C60" i="84"/>
  <c r="C57" i="84"/>
  <c r="C44" i="84"/>
  <c r="C52" i="84"/>
  <c r="C41" i="84"/>
  <c r="C46" i="84"/>
  <c r="C54" i="84"/>
  <c r="C62" i="84"/>
  <c r="C43" i="84"/>
  <c r="E15" i="84"/>
  <c r="E46" i="84"/>
  <c r="E54" i="84"/>
  <c r="E62" i="84"/>
  <c r="E43" i="84"/>
  <c r="E51" i="84"/>
  <c r="E59" i="84"/>
  <c r="E55" i="84"/>
  <c r="E63" i="84"/>
  <c r="E40" i="84"/>
  <c r="E48" i="84"/>
  <c r="E56" i="84"/>
  <c r="E64" i="84"/>
  <c r="E45" i="84"/>
  <c r="E53" i="84"/>
  <c r="E61" i="84"/>
  <c r="E65" i="84"/>
  <c r="E42" i="84"/>
  <c r="E50" i="84"/>
  <c r="E58" i="84"/>
  <c r="E71" i="84"/>
  <c r="E47" i="84"/>
  <c r="E49" i="84"/>
  <c r="E44" i="84"/>
  <c r="E52" i="84"/>
  <c r="E60" i="84"/>
  <c r="E41" i="84"/>
  <c r="E57" i="84"/>
  <c r="G15" i="84"/>
  <c r="G44" i="84"/>
  <c r="G52" i="84"/>
  <c r="G60" i="84"/>
  <c r="G41" i="84"/>
  <c r="G49" i="84"/>
  <c r="G57" i="84"/>
  <c r="G65" i="84"/>
  <c r="G45" i="84"/>
  <c r="G63" i="84"/>
  <c r="G46" i="84"/>
  <c r="G54" i="84"/>
  <c r="G62" i="84"/>
  <c r="G64" i="84"/>
  <c r="G53" i="84"/>
  <c r="G43" i="84"/>
  <c r="G51" i="84"/>
  <c r="G59" i="84"/>
  <c r="G55" i="84"/>
  <c r="G40" i="84"/>
  <c r="G48" i="84"/>
  <c r="G56" i="84"/>
  <c r="G61" i="84"/>
  <c r="G47" i="84"/>
  <c r="G42" i="84"/>
  <c r="G50" i="84"/>
  <c r="G58" i="84"/>
  <c r="G71" i="84"/>
  <c r="F15" i="84"/>
  <c r="F41" i="84"/>
  <c r="F49" i="84"/>
  <c r="F57" i="84"/>
  <c r="F65" i="84"/>
  <c r="F46" i="84"/>
  <c r="F54" i="84"/>
  <c r="F62" i="84"/>
  <c r="F61" i="84"/>
  <c r="F43" i="84"/>
  <c r="F51" i="84"/>
  <c r="F59" i="84"/>
  <c r="F42" i="84"/>
  <c r="F40" i="84"/>
  <c r="F48" i="84"/>
  <c r="F56" i="84"/>
  <c r="F64" i="84"/>
  <c r="F50" i="84"/>
  <c r="F44" i="84"/>
  <c r="F45" i="84"/>
  <c r="F53" i="84"/>
  <c r="F58" i="84"/>
  <c r="F71" i="84"/>
  <c r="F60" i="84"/>
  <c r="F47" i="84"/>
  <c r="F55" i="84"/>
  <c r="F63" i="84"/>
  <c r="F52" i="84"/>
  <c r="C29" i="84"/>
  <c r="C30" i="84"/>
  <c r="C31" i="84"/>
  <c r="C38" i="84"/>
  <c r="C39" i="84"/>
  <c r="C34" i="84"/>
  <c r="C35" i="84"/>
  <c r="C32" i="84"/>
  <c r="C37" i="84"/>
  <c r="C33" i="84"/>
  <c r="C36" i="84"/>
  <c r="D29" i="84"/>
  <c r="D31" i="84"/>
  <c r="D30" i="84"/>
  <c r="D37" i="84"/>
  <c r="D38" i="84"/>
  <c r="D39" i="84"/>
  <c r="D34" i="84"/>
  <c r="D32" i="84"/>
  <c r="D33" i="84"/>
  <c r="D35" i="84"/>
  <c r="D36" i="84"/>
  <c r="E29" i="84"/>
  <c r="E38" i="84"/>
  <c r="E36" i="84"/>
  <c r="E32" i="84"/>
  <c r="E35" i="84"/>
  <c r="E39" i="84"/>
  <c r="E34" i="84"/>
  <c r="E33" i="84"/>
  <c r="E37" i="84"/>
  <c r="E31" i="84"/>
  <c r="E30" i="84"/>
  <c r="G29" i="84"/>
  <c r="G38" i="84"/>
  <c r="G37" i="84"/>
  <c r="G33" i="84"/>
  <c r="G32" i="84"/>
  <c r="G30" i="84"/>
  <c r="G35" i="84"/>
  <c r="G39" i="84"/>
  <c r="G31" i="84"/>
  <c r="G36" i="84"/>
  <c r="G34" i="84"/>
  <c r="F29" i="84"/>
  <c r="F31" i="84"/>
  <c r="F33" i="84"/>
  <c r="F35" i="84"/>
  <c r="F36" i="84"/>
  <c r="F32" i="84"/>
  <c r="F38" i="84"/>
  <c r="F37" i="84"/>
  <c r="F34" i="84"/>
  <c r="F39" i="84"/>
  <c r="F30" i="84"/>
  <c r="G12" i="84"/>
  <c r="G9" i="84"/>
  <c r="G20" i="84"/>
  <c r="G10" i="84"/>
  <c r="G8" i="84"/>
  <c r="G11" i="84"/>
  <c r="G21" i="84"/>
  <c r="G17" i="84"/>
  <c r="G22" i="84"/>
  <c r="G16" i="84"/>
  <c r="G18" i="84"/>
  <c r="G19" i="84"/>
  <c r="G25" i="84"/>
  <c r="G24" i="84"/>
  <c r="G27" i="84"/>
  <c r="G26" i="84"/>
  <c r="G28" i="84"/>
  <c r="G23" i="84"/>
  <c r="C10" i="84"/>
  <c r="C8" i="84"/>
  <c r="C27" i="84"/>
  <c r="C12" i="84"/>
  <c r="C9" i="84"/>
  <c r="C23" i="84"/>
  <c r="C11" i="84"/>
  <c r="C24" i="84"/>
  <c r="C28" i="84"/>
  <c r="C17" i="84"/>
  <c r="C18" i="84"/>
  <c r="C26" i="84"/>
  <c r="C25" i="84"/>
  <c r="C22" i="84"/>
  <c r="C16" i="84"/>
  <c r="C20" i="84"/>
  <c r="C21" i="84"/>
  <c r="C19" i="84"/>
  <c r="D8" i="84"/>
  <c r="D11" i="84"/>
  <c r="D10" i="84"/>
  <c r="D9" i="84"/>
  <c r="D12" i="84"/>
  <c r="D22" i="84"/>
  <c r="D24" i="84"/>
  <c r="D18" i="84"/>
  <c r="D19" i="84"/>
  <c r="D27" i="84"/>
  <c r="D23" i="84"/>
  <c r="D28" i="84"/>
  <c r="D21" i="84"/>
  <c r="D25" i="84"/>
  <c r="D20" i="84"/>
  <c r="D26" i="84"/>
  <c r="D16" i="84"/>
  <c r="D17" i="84"/>
  <c r="E11" i="84"/>
  <c r="E9" i="84"/>
  <c r="E10" i="84"/>
  <c r="E8" i="84"/>
  <c r="E17" i="84"/>
  <c r="E12" i="84"/>
  <c r="E19" i="84"/>
  <c r="E28" i="84"/>
  <c r="E16" i="84"/>
  <c r="E25" i="84"/>
  <c r="E24" i="84"/>
  <c r="E26" i="84"/>
  <c r="E22" i="84"/>
  <c r="E23" i="84"/>
  <c r="E18" i="84"/>
  <c r="E21" i="84"/>
  <c r="E27" i="84"/>
  <c r="E20" i="84"/>
  <c r="F10" i="84"/>
  <c r="F8" i="84"/>
  <c r="F9" i="84"/>
  <c r="F12" i="84"/>
  <c r="F11" i="84"/>
  <c r="F23" i="84"/>
  <c r="F16" i="84"/>
  <c r="F24" i="84"/>
  <c r="F25" i="84"/>
  <c r="F19" i="84"/>
  <c r="F17" i="84"/>
  <c r="F21" i="84"/>
  <c r="F27" i="84"/>
  <c r="F28" i="84"/>
  <c r="F18" i="84"/>
  <c r="F22" i="84"/>
  <c r="F26" i="84"/>
  <c r="F20" i="84"/>
  <c r="I6" i="84"/>
  <c r="H61" i="85" l="1"/>
  <c r="D21" i="85"/>
  <c r="E67" i="85"/>
  <c r="D44" i="85"/>
  <c r="D92" i="85"/>
  <c r="E24" i="85"/>
  <c r="E22" i="85"/>
  <c r="D27" i="85"/>
  <c r="D19" i="85"/>
  <c r="K8" i="85"/>
  <c r="E36" i="85"/>
  <c r="D36" i="85"/>
  <c r="E64" i="85"/>
  <c r="E47" i="85"/>
  <c r="E75" i="85"/>
  <c r="E73" i="85"/>
  <c r="D49" i="85"/>
  <c r="D45" i="85"/>
  <c r="D83" i="85"/>
  <c r="E89" i="85"/>
  <c r="D87" i="85"/>
  <c r="E83" i="85"/>
  <c r="D63" i="85"/>
  <c r="E19" i="85"/>
  <c r="E20" i="85"/>
  <c r="D24" i="85"/>
  <c r="D56" i="85"/>
  <c r="E28" i="85"/>
  <c r="E32" i="85"/>
  <c r="D28" i="85"/>
  <c r="E81" i="85"/>
  <c r="E46" i="85"/>
  <c r="E63" i="85"/>
  <c r="E51" i="85"/>
  <c r="D77" i="85"/>
  <c r="D67" i="85"/>
  <c r="D73" i="85"/>
  <c r="E92" i="85"/>
  <c r="D90" i="85"/>
  <c r="D55" i="85"/>
  <c r="E44" i="85"/>
  <c r="D47" i="85"/>
  <c r="E86" i="85"/>
  <c r="E57" i="85"/>
  <c r="E55" i="85"/>
  <c r="D25" i="85"/>
  <c r="D18" i="85"/>
  <c r="E30" i="85"/>
  <c r="D31" i="85"/>
  <c r="E69" i="85"/>
  <c r="E62" i="85"/>
  <c r="E45" i="85"/>
  <c r="E43" i="85"/>
  <c r="D72" i="85"/>
  <c r="D82" i="85"/>
  <c r="D51" i="85"/>
  <c r="E87" i="85"/>
  <c r="E58" i="85"/>
  <c r="E21" i="85"/>
  <c r="D20" i="85"/>
  <c r="H8" i="85"/>
  <c r="E26" i="85"/>
  <c r="E49" i="85"/>
  <c r="E82" i="85"/>
  <c r="E77" i="85"/>
  <c r="E54" i="85"/>
  <c r="D50" i="85"/>
  <c r="D78" i="85"/>
  <c r="D43" i="85"/>
  <c r="D88" i="85"/>
  <c r="D8" i="85"/>
  <c r="D54" i="85"/>
  <c r="E27" i="85"/>
  <c r="E35" i="85"/>
  <c r="D32" i="85"/>
  <c r="E25" i="85"/>
  <c r="D22" i="85"/>
  <c r="B8" i="85"/>
  <c r="E38" i="85"/>
  <c r="D35" i="85"/>
  <c r="D38" i="85"/>
  <c r="E76" i="85"/>
  <c r="E72" i="85"/>
  <c r="E78" i="85"/>
  <c r="D84" i="85"/>
  <c r="D42" i="85"/>
  <c r="D68" i="85"/>
  <c r="D76" i="85"/>
  <c r="E88" i="85"/>
  <c r="D91" i="85"/>
  <c r="E59" i="85"/>
  <c r="E37" i="85"/>
  <c r="E18" i="85"/>
  <c r="D58" i="85"/>
  <c r="F8" i="85"/>
  <c r="E39" i="85"/>
  <c r="D37" i="85"/>
  <c r="D39" i="85"/>
  <c r="E84" i="85"/>
  <c r="E50" i="85"/>
  <c r="E68" i="85"/>
  <c r="D74" i="85"/>
  <c r="D69" i="85"/>
  <c r="D48" i="85"/>
  <c r="D64" i="85"/>
  <c r="E90" i="85"/>
  <c r="D86" i="85"/>
  <c r="E56" i="85"/>
  <c r="D57" i="85"/>
  <c r="D59" i="85"/>
  <c r="E31" i="85"/>
  <c r="D30" i="85"/>
  <c r="D26" i="85"/>
  <c r="E74" i="85"/>
  <c r="E42" i="85"/>
  <c r="E48" i="85"/>
  <c r="D62" i="85"/>
  <c r="D75" i="85"/>
  <c r="D81" i="85"/>
  <c r="D46" i="85"/>
  <c r="E91" i="85"/>
  <c r="D89" i="85"/>
  <c r="E40" i="85"/>
  <c r="D40" i="85"/>
  <c r="H11" i="84"/>
  <c r="H9" i="84"/>
  <c r="H12" i="84"/>
  <c r="H10" i="84"/>
  <c r="H8" i="84"/>
  <c r="H26" i="85" l="1"/>
  <c r="H64" i="85"/>
  <c r="H59" i="85"/>
  <c r="H57" i="85"/>
  <c r="H51" i="85"/>
  <c r="H28" i="85"/>
  <c r="H44" i="85"/>
  <c r="H40" i="85"/>
  <c r="H76" i="85"/>
  <c r="H74" i="85"/>
  <c r="H87" i="85"/>
  <c r="H32" i="85"/>
  <c r="H83" i="85"/>
  <c r="H86" i="85"/>
  <c r="H30" i="85"/>
  <c r="H81" i="85"/>
  <c r="H46" i="85"/>
  <c r="H58" i="85"/>
  <c r="H47" i="85"/>
  <c r="H24" i="85"/>
  <c r="H62" i="85"/>
  <c r="H68" i="85"/>
  <c r="H18" i="85"/>
  <c r="H22" i="85"/>
  <c r="H77" i="85"/>
  <c r="H56" i="85"/>
  <c r="H50" i="85"/>
  <c r="H82" i="85"/>
  <c r="H67" i="85"/>
  <c r="H36" i="85"/>
  <c r="H75" i="85"/>
  <c r="H90" i="85"/>
  <c r="H43" i="85"/>
  <c r="H38" i="85"/>
  <c r="H63" i="85"/>
  <c r="H84" i="85"/>
  <c r="H78" i="85"/>
  <c r="H89" i="85"/>
  <c r="H39" i="85"/>
  <c r="H48" i="85"/>
  <c r="H37" i="85"/>
  <c r="H20" i="85"/>
  <c r="H19" i="85"/>
  <c r="H27" i="85"/>
  <c r="H45" i="85"/>
  <c r="H31" i="85"/>
  <c r="H55" i="85"/>
  <c r="H73" i="85"/>
  <c r="H49" i="85"/>
  <c r="H92" i="85"/>
  <c r="H91" i="85"/>
  <c r="H42" i="85"/>
  <c r="H35" i="85"/>
  <c r="H88" i="85"/>
  <c r="H54" i="85"/>
  <c r="H72" i="85"/>
  <c r="H69" i="85"/>
  <c r="H25" i="85"/>
  <c r="H21" i="85"/>
  <c r="K9" i="85"/>
  <c r="H9" i="85"/>
  <c r="D9" i="85"/>
  <c r="B9" i="85"/>
  <c r="F9" i="85"/>
  <c r="J15" i="85"/>
</calcChain>
</file>

<file path=xl/sharedStrings.xml><?xml version="1.0" encoding="utf-8"?>
<sst xmlns="http://schemas.openxmlformats.org/spreadsheetml/2006/main" count="4770" uniqueCount="435">
  <si>
    <t>A. Taubman College of Architecture &amp; Urban Planning</t>
  </si>
  <si>
    <t>College of Engineering</t>
  </si>
  <si>
    <t>College of Literature, Science &amp; Arts</t>
  </si>
  <si>
    <t>College of Pharmacy</t>
  </si>
  <si>
    <t>Executive Vice President for Academic Affairs</t>
  </si>
  <si>
    <t>Ford School of Public Policy</t>
  </si>
  <si>
    <t>Institute of Continuing Legal Education</t>
  </si>
  <si>
    <t>Institute for Social Research</t>
  </si>
  <si>
    <t>Law School</t>
  </si>
  <si>
    <t>Life Sciences Institute</t>
  </si>
  <si>
    <t>Rackham Graduate School</t>
  </si>
  <si>
    <t>School of Dentistry</t>
  </si>
  <si>
    <t>School of Education</t>
  </si>
  <si>
    <t>School of Information</t>
  </si>
  <si>
    <t>School of Kinesiology</t>
  </si>
  <si>
    <t>School of Music, Theatre &amp; Dance</t>
  </si>
  <si>
    <t>School of Nursing</t>
  </si>
  <si>
    <t>School of Public Health</t>
  </si>
  <si>
    <t>School of Social Work</t>
  </si>
  <si>
    <t>Stamps School of Art and Design</t>
  </si>
  <si>
    <t>University Libraries</t>
  </si>
  <si>
    <t>Hospital and Health Centers</t>
  </si>
  <si>
    <t>Exec VP for Medical Affairs-Shared Services</t>
  </si>
  <si>
    <t>Medical School</t>
  </si>
  <si>
    <t>Michigan Health Corporation</t>
  </si>
  <si>
    <t>Athletics</t>
  </si>
  <si>
    <t>University Audits</t>
  </si>
  <si>
    <t>Facilities and Operations</t>
  </si>
  <si>
    <t>Finance</t>
  </si>
  <si>
    <t>Investments Office</t>
  </si>
  <si>
    <t>Shared Service Center</t>
  </si>
  <si>
    <t>University Human Resources</t>
  </si>
  <si>
    <t>Division of Public Safety &amp; Security</t>
  </si>
  <si>
    <t>Office of Student Publications</t>
  </si>
  <si>
    <t>Vice President and General Counsel</t>
  </si>
  <si>
    <t>Vice President and Secretary of the University</t>
  </si>
  <si>
    <t>Vice President for Development</t>
  </si>
  <si>
    <t>Vice President for Global Communications</t>
  </si>
  <si>
    <t>Vice President for Government Relations</t>
  </si>
  <si>
    <t>Vice President for Information Technology</t>
  </si>
  <si>
    <t>Vice President for Student Life</t>
  </si>
  <si>
    <t>Vice President of Research</t>
  </si>
  <si>
    <t>University of Michigan Dearborn</t>
  </si>
  <si>
    <t>University of Michigan Flint</t>
  </si>
  <si>
    <t>Certifying Unit</t>
  </si>
  <si>
    <t>All Funds</t>
  </si>
  <si>
    <t>Sponsored Programs</t>
  </si>
  <si>
    <t>#</t>
  </si>
  <si>
    <t>Total</t>
  </si>
  <si>
    <t>$</t>
  </si>
  <si>
    <t>DR4 Disbursements</t>
  </si>
  <si>
    <t>%</t>
  </si>
  <si>
    <t>FY 2016</t>
  </si>
  <si>
    <t>FY 2017</t>
  </si>
  <si>
    <t>P-Cards Open &gt; 6 months (#)</t>
  </si>
  <si>
    <t>Underutilized P-Cards (#/%)</t>
  </si>
  <si>
    <t>No Activity P-Cards (#/%)</t>
  </si>
  <si>
    <t>Cash Handling</t>
  </si>
  <si>
    <t>Deposits (#/$)</t>
  </si>
  <si>
    <t>P-Cards Open (#)</t>
  </si>
  <si>
    <t>Deficit Balances</t>
  </si>
  <si>
    <t>R</t>
  </si>
  <si>
    <t>&gt; 20 %</t>
  </si>
  <si>
    <r>
      <t xml:space="preserve">10% </t>
    </r>
    <r>
      <rPr>
        <u/>
        <sz val="11"/>
        <color theme="1"/>
        <rFont val="Calibri"/>
        <family val="2"/>
        <scheme val="minor"/>
      </rPr>
      <t>&lt;</t>
    </r>
  </si>
  <si>
    <t>Y</t>
  </si>
  <si>
    <r>
      <rPr>
        <u/>
        <sz val="11"/>
        <color theme="1"/>
        <rFont val="Calibri"/>
        <family val="2"/>
        <scheme val="minor"/>
      </rPr>
      <t>&lt;</t>
    </r>
    <r>
      <rPr>
        <sz val="11"/>
        <color theme="1"/>
        <rFont val="Calibri"/>
        <family val="2"/>
        <scheme val="minor"/>
      </rPr>
      <t xml:space="preserve"> 20%</t>
    </r>
  </si>
  <si>
    <t>G</t>
  </si>
  <si>
    <t>&lt; 10%</t>
  </si>
  <si>
    <t>&gt; 25 %</t>
  </si>
  <si>
    <r>
      <t xml:space="preserve">15% </t>
    </r>
    <r>
      <rPr>
        <u/>
        <sz val="11"/>
        <color theme="1"/>
        <rFont val="Calibri"/>
        <family val="2"/>
        <scheme val="minor"/>
      </rPr>
      <t>&lt;</t>
    </r>
  </si>
  <si>
    <r>
      <rPr>
        <u/>
        <sz val="11"/>
        <color theme="1"/>
        <rFont val="Calibri"/>
        <family val="2"/>
        <scheme val="minor"/>
      </rPr>
      <t>&lt;</t>
    </r>
    <r>
      <rPr>
        <sz val="11"/>
        <color theme="1"/>
        <rFont val="Calibri"/>
        <family val="2"/>
        <scheme val="minor"/>
      </rPr>
      <t xml:space="preserve"> 25%</t>
    </r>
  </si>
  <si>
    <r>
      <rPr>
        <u/>
        <sz val="11"/>
        <color theme="1"/>
        <rFont val="Calibri"/>
        <family val="2"/>
        <scheme val="minor"/>
      </rPr>
      <t>&gt;</t>
    </r>
    <r>
      <rPr>
        <sz val="11"/>
        <color theme="1"/>
        <rFont val="Calibri"/>
        <family val="2"/>
        <scheme val="minor"/>
      </rPr>
      <t xml:space="preserve"> 1.5%</t>
    </r>
  </si>
  <si>
    <t>Effort Reporting</t>
  </si>
  <si>
    <t>&lt; 76%</t>
  </si>
  <si>
    <r>
      <t xml:space="preserve">76% </t>
    </r>
    <r>
      <rPr>
        <u/>
        <sz val="11"/>
        <color theme="1"/>
        <rFont val="Calibri"/>
        <family val="2"/>
        <scheme val="minor"/>
      </rPr>
      <t>&lt;</t>
    </r>
  </si>
  <si>
    <r>
      <rPr>
        <u/>
        <sz val="11"/>
        <color theme="1"/>
        <rFont val="Calibri"/>
        <family val="2"/>
        <scheme val="minor"/>
      </rPr>
      <t>&lt;</t>
    </r>
    <r>
      <rPr>
        <sz val="11"/>
        <color theme="1"/>
        <rFont val="Calibri"/>
        <family val="2"/>
        <scheme val="minor"/>
      </rPr>
      <t xml:space="preserve"> 86%</t>
    </r>
  </si>
  <si>
    <t>&gt; 1.9%</t>
  </si>
  <si>
    <t>• Total dollars transferred over 90 days as a % of total dollars paid</t>
  </si>
  <si>
    <r>
      <t xml:space="preserve">1.3% </t>
    </r>
    <r>
      <rPr>
        <u/>
        <sz val="11"/>
        <color theme="1"/>
        <rFont val="Calibri"/>
        <family val="2"/>
        <scheme val="minor"/>
      </rPr>
      <t>&lt;</t>
    </r>
  </si>
  <si>
    <r>
      <rPr>
        <u/>
        <sz val="11"/>
        <color theme="1"/>
        <rFont val="Calibri"/>
        <family val="2"/>
        <scheme val="minor"/>
      </rPr>
      <t>&lt;</t>
    </r>
    <r>
      <rPr>
        <sz val="11"/>
        <color theme="1"/>
        <rFont val="Calibri"/>
        <family val="2"/>
        <scheme val="minor"/>
      </rPr>
      <t xml:space="preserve"> 1.9%</t>
    </r>
  </si>
  <si>
    <t>Underutilized P-Cards</t>
  </si>
  <si>
    <t>&gt; 20%</t>
  </si>
  <si>
    <r>
      <t xml:space="preserve">14% </t>
    </r>
    <r>
      <rPr>
        <u/>
        <sz val="11"/>
        <color theme="1"/>
        <rFont val="Calibri"/>
        <family val="2"/>
        <scheme val="minor"/>
      </rPr>
      <t>&lt;</t>
    </r>
  </si>
  <si>
    <t>• Number of underutilized P-Cards as a % of total number of P-Cards open for at least 6 months</t>
  </si>
  <si>
    <t>No Activity P-Cards</t>
  </si>
  <si>
    <t>&gt; 4.2%</t>
  </si>
  <si>
    <t>• Definition: P-Card open for at least 6 months and no activity, regardless of credit limit</t>
  </si>
  <si>
    <r>
      <t xml:space="preserve">3.2% </t>
    </r>
    <r>
      <rPr>
        <u/>
        <sz val="11"/>
        <color theme="1"/>
        <rFont val="Calibri"/>
        <family val="2"/>
        <scheme val="minor"/>
      </rPr>
      <t>&lt;</t>
    </r>
  </si>
  <si>
    <r>
      <rPr>
        <u/>
        <sz val="11"/>
        <color theme="1"/>
        <rFont val="Calibri"/>
        <family val="2"/>
        <scheme val="minor"/>
      </rPr>
      <t>&lt;</t>
    </r>
    <r>
      <rPr>
        <sz val="11"/>
        <color theme="1"/>
        <rFont val="Calibri"/>
        <family val="2"/>
        <scheme val="minor"/>
      </rPr>
      <t xml:space="preserve"> 4.2%</t>
    </r>
  </si>
  <si>
    <t>• Number of P-Cards with no activity as a % of total number of P-Cards open at least 6 months</t>
  </si>
  <si>
    <t>&lt; 3.2%</t>
  </si>
  <si>
    <t>Approvers Up to Date on Training (#/%)</t>
  </si>
  <si>
    <t>Final Approvers (#)</t>
  </si>
  <si>
    <t>Locations</t>
  </si>
  <si>
    <t># Depositors</t>
  </si>
  <si>
    <t>Refunds (#/$)</t>
  </si>
  <si>
    <t>No expenses &gt; 5 years with Balance (#/$)</t>
  </si>
  <si>
    <t>Total Dollars Paid ($)</t>
  </si>
  <si>
    <t>Gift Funds</t>
  </si>
  <si>
    <t>AY 2016</t>
  </si>
  <si>
    <t>Non-Traditional Students (#/$)</t>
  </si>
  <si>
    <t>Effort Certification</t>
  </si>
  <si>
    <t>Depositors Up to Date on Training (#/%)</t>
  </si>
  <si>
    <t>• Total dollars transferred as a % of total dollars paid</t>
  </si>
  <si>
    <t>• Total dollars transferred after Project Grant (P/G) end date as a % of total dollars paid</t>
  </si>
  <si>
    <t>Cash Deposits:</t>
  </si>
  <si>
    <t>Retroactive Pay Changes:</t>
  </si>
  <si>
    <t>• Number of final expense approvers</t>
  </si>
  <si>
    <t>• Total amount of deposits</t>
  </si>
  <si>
    <t>• Number of: deposit locations, deposits, and authorized depositors</t>
  </si>
  <si>
    <t>Credit Cards</t>
  </si>
  <si>
    <t>• Total number and amount of payments received</t>
  </si>
  <si>
    <t>• Total number and amount of refunds</t>
  </si>
  <si>
    <t>No expenses &gt; 5 years with a balance</t>
  </si>
  <si>
    <t>• Definition: gift that had no expenses in 5 or more years and has a balance</t>
  </si>
  <si>
    <t>• Total number and current balance</t>
  </si>
  <si>
    <t>• Total employees certified time by 8/15/yyyy</t>
  </si>
  <si>
    <t>Unit Administered Financial Aid:</t>
  </si>
  <si>
    <t>• Overrides total and as a percent of total disbursements</t>
  </si>
  <si>
    <t>• Non-traditional students count and total amount</t>
  </si>
  <si>
    <t>• Percent of merchants PCI compliant as a percentage of total number of merchants</t>
  </si>
  <si>
    <t>• Definition: gift balance is less than $0, number and total deficit balance</t>
  </si>
  <si>
    <t>• Total amount of financial aid</t>
  </si>
  <si>
    <t>University Total</t>
  </si>
  <si>
    <t>Final Approvers</t>
  </si>
  <si>
    <t>PCards</t>
  </si>
  <si>
    <t>Open</t>
  </si>
  <si>
    <t>Open&gt;6M</t>
  </si>
  <si>
    <t>UnderUtilized</t>
  </si>
  <si>
    <t>No Activity</t>
  </si>
  <si>
    <t>Retro Pay</t>
  </si>
  <si>
    <t>Total Pay</t>
  </si>
  <si>
    <t>Total Transfers</t>
  </si>
  <si>
    <t>&gt;90 Days Transfers</t>
  </si>
  <si>
    <t>Sponsored Programs Retro Pay</t>
  </si>
  <si>
    <t>Total SP Transfers</t>
  </si>
  <si>
    <t>SP Transfers after P/G End Date</t>
  </si>
  <si>
    <t>Cash Deposits</t>
  </si>
  <si>
    <t># Dep</t>
  </si>
  <si>
    <t>$ Dep</t>
  </si>
  <si>
    <t>Depositors/Training</t>
  </si>
  <si>
    <t># Up To Date Train</t>
  </si>
  <si>
    <t># Merch</t>
  </si>
  <si>
    <t>% Merch Compl</t>
  </si>
  <si>
    <t>Credit Cards-PCI</t>
  </si>
  <si>
    <t># Merch Compl</t>
  </si>
  <si>
    <t>Credits Card Payment Info</t>
  </si>
  <si>
    <t>$ Total</t>
  </si>
  <si>
    <t># Refunds</t>
  </si>
  <si>
    <t>$ Refunds</t>
  </si>
  <si>
    <t>Balances</t>
  </si>
  <si>
    <t>No Expenses</t>
  </si>
  <si>
    <t>Overrides</t>
  </si>
  <si>
    <t>% of Total</t>
  </si>
  <si>
    <t>Non-Traditional Students</t>
  </si>
  <si>
    <t>Merchants compliant (#/%)</t>
  </si>
  <si>
    <t>Disbursement w/ No Rules Applied ($/%)</t>
  </si>
  <si>
    <t>Overrides ($/%)</t>
  </si>
  <si>
    <t>Deposit Locations (#)</t>
  </si>
  <si>
    <t>Merchants (#)</t>
  </si>
  <si>
    <t>Total Transfers ($/%)</t>
  </si>
  <si>
    <t>Transfers after P/G End Date ($/%)</t>
  </si>
  <si>
    <t>Transfers &gt; 90 Days ($/%)</t>
  </si>
  <si>
    <t>Travel and Expense Approvers</t>
  </si>
  <si>
    <t>P-Card / Travel &amp; Expense:</t>
  </si>
  <si>
    <t>Gift Fund Balance</t>
  </si>
  <si>
    <t>• Definition: All gift funds with balance (positive or negative)</t>
  </si>
  <si>
    <t>• FY2014 through FYTD 2017 (3/31/2017) data, as of April 14, 2017</t>
  </si>
  <si>
    <t>Depositors (#)</t>
  </si>
  <si>
    <t>Merchant Training</t>
  </si>
  <si>
    <t>Auth Users</t>
  </si>
  <si>
    <t>Up To Date Train</t>
  </si>
  <si>
    <t>% Up to Date</t>
  </si>
  <si>
    <t>Authorized Users (#)</t>
  </si>
  <si>
    <t>• No disbursement rules applied (DR4) total and as a percent of total disbursements</t>
  </si>
  <si>
    <t>Students who are not currently admitted to or enrolled in a University of Michigan degree or certificate seeking program</t>
  </si>
  <si>
    <t>Financial Aid record built manually in order to allow payments to flow through financial aid</t>
  </si>
  <si>
    <t>Disbursements that involve manual override (i.e. not batch)</t>
  </si>
  <si>
    <t>P-Cards</t>
  </si>
  <si>
    <t>Unit Financial Aid Totals ($)</t>
  </si>
  <si>
    <t>Individuals that are required to "Re-Certify" are shown as complete, based on the original completion date</t>
  </si>
  <si>
    <t>Individuals that were/are assigned to Admin DeptID 677440 (Benefits for Non-Distribution Appointments), have been reassigned to their prior Admin DeptID</t>
  </si>
  <si>
    <t>Faculty/Staff Required to Certify (#)</t>
  </si>
  <si>
    <t>Completed by 08/15 (#/%)</t>
  </si>
  <si>
    <t>Reqrd</t>
  </si>
  <si>
    <t>On-Time</t>
  </si>
  <si>
    <t>% On-Time</t>
  </si>
  <si>
    <t>• Total employees required to certify effort</t>
  </si>
  <si>
    <t>• Total employees certified</t>
  </si>
  <si>
    <r>
      <t xml:space="preserve">• Definition: credit limit </t>
    </r>
    <r>
      <rPr>
        <u/>
        <sz val="11"/>
        <color theme="1"/>
        <rFont val="Calibri"/>
        <family val="2"/>
        <scheme val="minor"/>
      </rPr>
      <t>&gt;</t>
    </r>
    <r>
      <rPr>
        <sz val="11"/>
        <color theme="1"/>
        <rFont val="Calibri"/>
        <family val="2"/>
        <scheme val="minor"/>
      </rPr>
      <t xml:space="preserve"> $10,000 and max monthly spend is &lt; 50% of credit limit, P-Card is open for at least 6 months</t>
    </r>
  </si>
  <si>
    <t>School for Environment and Sustainability</t>
  </si>
  <si>
    <t>AY 2017</t>
  </si>
  <si>
    <t>Color Coding for areas that show Percent of Trainers that are up to date</t>
  </si>
  <si>
    <t># Total Transactions</t>
  </si>
  <si>
    <t>`</t>
  </si>
  <si>
    <t>Unit</t>
  </si>
  <si>
    <t>=IF(ISNA(VLOOKUP('Filter-Home Page'!$D$12,'Combined Info'!$A$6:$FE$51,9,FALSE))=TRUE,"DEPT not Found",VLOOKUP('Filter-Home Page'!$D$12,'Combined Info'!$A$6:$FE$51,9,FALSE))</t>
  </si>
  <si>
    <t>=IF(ISNA(VLOOKUP($B$4,PCards!$A$5:$G$51,7,FALSE))=TRUE,"DEPT not Found",VLOOKUP($B$4,PCards!$A$5:$G$51,7,FALSE))</t>
  </si>
  <si>
    <t>FY 2018</t>
  </si>
  <si>
    <t>FY 2019</t>
  </si>
  <si>
    <t>AY 2018</t>
  </si>
  <si>
    <t>AY 2019</t>
  </si>
  <si>
    <t>Cash &amp; Checks</t>
  </si>
  <si>
    <t>Credit Card Merchants</t>
  </si>
  <si>
    <r>
      <t xml:space="preserve">Cash Handling </t>
    </r>
    <r>
      <rPr>
        <b/>
        <u/>
        <sz val="12"/>
        <color theme="1"/>
        <rFont val="Calibri"/>
        <family val="2"/>
        <scheme val="minor"/>
      </rPr>
      <t>($ in 000's)</t>
    </r>
  </si>
  <si>
    <r>
      <t xml:space="preserve">Gift Funds </t>
    </r>
    <r>
      <rPr>
        <b/>
        <u/>
        <sz val="12"/>
        <color theme="1"/>
        <rFont val="Calibri"/>
        <family val="2"/>
        <scheme val="minor"/>
      </rPr>
      <t>($ in 000's)</t>
    </r>
  </si>
  <si>
    <r>
      <t xml:space="preserve">Unit Administered Financial Aid </t>
    </r>
    <r>
      <rPr>
        <b/>
        <u/>
        <sz val="12"/>
        <color theme="1"/>
        <rFont val="Calibri"/>
        <family val="2"/>
        <scheme val="minor"/>
      </rPr>
      <t>($ in 000's)</t>
    </r>
  </si>
  <si>
    <r>
      <t xml:space="preserve">Employment </t>
    </r>
    <r>
      <rPr>
        <b/>
        <u/>
        <sz val="12"/>
        <color theme="1"/>
        <rFont val="Calibri"/>
        <family val="2"/>
        <scheme val="minor"/>
      </rPr>
      <t>($ in 000's)</t>
    </r>
  </si>
  <si>
    <t>Sales (#/$)</t>
  </si>
  <si>
    <t>Users Up to Date on Training (#/%)</t>
  </si>
  <si>
    <t>All Funds Retro Pay</t>
  </si>
  <si>
    <t>Approvers Up to Date on Training</t>
  </si>
  <si>
    <t>Employment/Payroll Process</t>
  </si>
  <si>
    <t>P</t>
  </si>
  <si>
    <t>PCard Process</t>
  </si>
  <si>
    <t>Journal Entry Process</t>
  </si>
  <si>
    <t>Gift Card Process</t>
  </si>
  <si>
    <t>Cash Handling Process</t>
  </si>
  <si>
    <t>Travel &amp; Expense (Concur) Process</t>
  </si>
  <si>
    <t>HSIP Process</t>
  </si>
  <si>
    <t>Unit Administered Financial Aid Process</t>
  </si>
  <si>
    <t>Financial Stewardship of Gifts</t>
  </si>
  <si>
    <t>N/A</t>
  </si>
  <si>
    <t>Annual Certification Responses</t>
  </si>
  <si>
    <t>Human Subject Incentives Program</t>
  </si>
  <si>
    <t>Unit Administered Financial Aid</t>
  </si>
  <si>
    <t>Capital Equipment</t>
  </si>
  <si>
    <t>All Funds-#</t>
  </si>
  <si>
    <t>Spon Programs #</t>
  </si>
  <si>
    <t>SP % of Total</t>
  </si>
  <si>
    <t>All Funds Blank Custodians</t>
  </si>
  <si>
    <t>All Funds Capital Equipment</t>
  </si>
  <si>
    <t>Total Assets (#)</t>
  </si>
  <si>
    <t>Assets - Capital Equipment</t>
  </si>
  <si>
    <t>Assets with Blank Custodians</t>
  </si>
  <si>
    <t>Sponsored Programs Capital Equipment</t>
  </si>
  <si>
    <t>Total SP Assets (#/%)</t>
  </si>
  <si>
    <t>INPUT YOUR FINANCIAL DATA</t>
  </si>
  <si>
    <t>Tap to view Financial Report</t>
  </si>
  <si>
    <t>METRIC NAME</t>
  </si>
  <si>
    <t>DEFINE KEY METRICS HERE</t>
  </si>
  <si>
    <t xml:space="preserve"> SELECT UP TO 5 KEY METRICS TO SHOW AT THE TOP OF THE REPORT</t>
  </si>
  <si>
    <t xml:space="preserve">  Tap to view Financial Report</t>
  </si>
  <si>
    <t>This worksheet is used for the Financial Report calculations and should remain hidden.</t>
  </si>
  <si>
    <t>Position</t>
  </si>
  <si>
    <t>This year</t>
  </si>
  <si>
    <t>Previous Year</t>
  </si>
  <si>
    <t>Key Metrics</t>
  </si>
  <si>
    <t>KEY METRICS</t>
  </si>
  <si>
    <t>ALL METRICS</t>
  </si>
  <si>
    <t>METRIC</t>
  </si>
  <si>
    <t>METRIC 49</t>
  </si>
  <si>
    <t>METRIC 50</t>
  </si>
  <si>
    <t>METRIC 51</t>
  </si>
  <si>
    <t>Open PCards</t>
  </si>
  <si>
    <t>PCards Open for 6 Months</t>
  </si>
  <si>
    <t>Underutilized PCards #</t>
  </si>
  <si>
    <t>Underutilized PCards %</t>
  </si>
  <si>
    <t>Unused Pcards #</t>
  </si>
  <si>
    <t>Unused Pcards %</t>
  </si>
  <si>
    <t>CHANGE</t>
  </si>
  <si>
    <t xml:space="preserve"> YOU CAN DEFINE UP TO 50 KEY METRICS FOR 7 YEARS</t>
  </si>
  <si>
    <t>=IF(ISNA(VLOOKUP($B$4,PCards!$A$5:$AH$51,2,FALSE))=TRUE,"DEPT not Found",VLOOKUP($B$4,PCards!$A$5:$AH$51,2,FALSE))</t>
  </si>
  <si>
    <t>Blank Custodians #</t>
  </si>
  <si>
    <t>All Metrics (works up to 50 metrics)</t>
  </si>
  <si>
    <t>Employment ($ in 000's)</t>
  </si>
  <si>
    <t>Total Paid $</t>
  </si>
  <si>
    <t>Total Transfers %</t>
  </si>
  <si>
    <t>Total Transfers $</t>
  </si>
  <si>
    <t>Transfers &gt; 90 Days %</t>
  </si>
  <si>
    <t>Transfers After PG End Date $</t>
  </si>
  <si>
    <t>Transfers After PG End Date %</t>
  </si>
  <si>
    <t>Faculty/Staff Required to Certify #</t>
  </si>
  <si>
    <t>On-Time #</t>
  </si>
  <si>
    <t>On-Time %</t>
  </si>
  <si>
    <t>Cash Handling ($ in 000's)</t>
  </si>
  <si>
    <t>Deposit Locations #</t>
  </si>
  <si>
    <t>Deposits #</t>
  </si>
  <si>
    <t>Depositors #</t>
  </si>
  <si>
    <t>Depositors - Up to Date on Training #</t>
  </si>
  <si>
    <t>Depositors - Up to Date on Training %</t>
  </si>
  <si>
    <t>Merchants #</t>
  </si>
  <si>
    <t>Merchants Compliant #</t>
  </si>
  <si>
    <t>Merchants Compliant %</t>
  </si>
  <si>
    <t>Sales #</t>
  </si>
  <si>
    <t>Refunds #</t>
  </si>
  <si>
    <t>Refunds $</t>
  </si>
  <si>
    <t>Authorized Users #</t>
  </si>
  <si>
    <t>Users Up to Date on Training #</t>
  </si>
  <si>
    <t>Users Up to Date on Training %</t>
  </si>
  <si>
    <t>Travel &amp; Expense (Concur)</t>
  </si>
  <si>
    <t>T&amp;E</t>
  </si>
  <si>
    <t>Final Approvers #</t>
  </si>
  <si>
    <t>Final Approvers Up to Date on Training #</t>
  </si>
  <si>
    <t>Final Approvers Up to Date on Training %</t>
  </si>
  <si>
    <t>Gift Funds ($ in 000's)</t>
  </si>
  <si>
    <t>Gift</t>
  </si>
  <si>
    <r>
      <t xml:space="preserve">No Expenses </t>
    </r>
    <r>
      <rPr>
        <u/>
        <sz val="11"/>
        <color theme="1" tint="0.34998626667073579"/>
        <rFont val="Arial"/>
        <family val="2"/>
      </rPr>
      <t>&gt;</t>
    </r>
    <r>
      <rPr>
        <sz val="11"/>
        <color theme="1" tint="0.34998626667073579"/>
        <rFont val="Arial"/>
        <family val="2"/>
      </rPr>
      <t xml:space="preserve"> 5 years #</t>
    </r>
  </si>
  <si>
    <r>
      <t xml:space="preserve">No Expenses </t>
    </r>
    <r>
      <rPr>
        <u/>
        <sz val="11"/>
        <color theme="1" tint="0.34998626667073579"/>
        <rFont val="Arial"/>
        <family val="2"/>
      </rPr>
      <t>&gt;</t>
    </r>
    <r>
      <rPr>
        <sz val="11"/>
        <color theme="1" tint="0.34998626667073579"/>
        <rFont val="Arial"/>
        <family val="2"/>
      </rPr>
      <t xml:space="preserve"> 5 years Balance $</t>
    </r>
  </si>
  <si>
    <t>Unit Administered Financial Aid ($ in 000's)</t>
  </si>
  <si>
    <t>FA</t>
  </si>
  <si>
    <t>Total Disbursed $</t>
  </si>
  <si>
    <t>Overrides $</t>
  </si>
  <si>
    <t>Overrides %</t>
  </si>
  <si>
    <t>No Disbursement Rules Applied (DR4) $</t>
  </si>
  <si>
    <t>No Disbursement Rules Applied (DR4) %</t>
  </si>
  <si>
    <t>Non Traditional Students #</t>
  </si>
  <si>
    <t>Non Traditional Students $</t>
  </si>
  <si>
    <t>Total Assets #</t>
  </si>
  <si>
    <t>SP Equip</t>
  </si>
  <si>
    <t>Retro Salary Transfers &gt; 90 Days $</t>
  </si>
  <si>
    <t>*</t>
  </si>
  <si>
    <t>* = Not required for Fiscal Year</t>
  </si>
  <si>
    <t>Total Dollars Paid</t>
  </si>
  <si>
    <t>Total Dollars Xfrd</t>
  </si>
  <si>
    <t>n/a</t>
  </si>
  <si>
    <t>Row Labels</t>
  </si>
  <si>
    <t>Sum of Total Number of Approvers</t>
  </si>
  <si>
    <t>Sum of Approvers Up to Date on Training</t>
  </si>
  <si>
    <t>Exec VP for Medical Affairs Shared Services</t>
  </si>
  <si>
    <t>Please Use Drop Down Menu to Select Unit Below</t>
  </si>
  <si>
    <t>Internal Controls Year Over Year Metrics and Trends</t>
  </si>
  <si>
    <t>5 Year ScoreCard</t>
  </si>
  <si>
    <t>Use Buttons Below to Select Which Report to Review</t>
  </si>
  <si>
    <t>Year Over Year Metrics and Trends</t>
  </si>
  <si>
    <t>This report shows year over year changes as well as a 5 year trend line for various Internal Control topics</t>
  </si>
  <si>
    <t>• Total number of In-Service Assets</t>
  </si>
  <si>
    <t>Assets counted by Asset ID Number, includes Asset Category Descriptions of:  Purchased Equipment, Gifts in Kind, and Grants in Kind</t>
  </si>
  <si>
    <t>Sponsored Programs includes assets fully or partially funded by funds 20000 and 25000</t>
  </si>
  <si>
    <t>• Total number of Assets with a blank custodian</t>
  </si>
  <si>
    <t>• Total number of Sponsored Programs In-Service Assets</t>
  </si>
  <si>
    <t>• Total number of Sponsored Programs Assets In-Service for 10 or more years and as a percent of total</t>
  </si>
  <si>
    <t>• Total number of Assets In-Service for 10 or more years and as a percent of total</t>
  </si>
  <si>
    <t>• Total number of Sponsored Programs Assets with a blank custodian</t>
  </si>
  <si>
    <t>Blank Custodians %</t>
  </si>
  <si>
    <t>All Funds Blank Custodians %</t>
  </si>
  <si>
    <t>Unused Metric</t>
  </si>
  <si>
    <t>Deposits $</t>
  </si>
  <si>
    <t>Cash</t>
  </si>
  <si>
    <t>Credit Card</t>
  </si>
  <si>
    <t>Sales $</t>
  </si>
  <si>
    <t>% of Total Assets</t>
  </si>
  <si>
    <t>Gift Fund Balance $</t>
  </si>
  <si>
    <t>Retro Salary Transfers &gt; 90 Days $ (in 000's)</t>
  </si>
  <si>
    <t>Deposits $ (in 000's)</t>
  </si>
  <si>
    <t>Total Retro Salary Transfers $ (in 000's)</t>
  </si>
  <si>
    <t>Gift Fund Balance $ 
(in 000's)</t>
  </si>
  <si>
    <t>Fiscal Year</t>
  </si>
  <si>
    <t>Pts</t>
  </si>
  <si>
    <t>Travel &amp; Expense</t>
  </si>
  <si>
    <t>Notes:</t>
  </si>
  <si>
    <t>Effort Certification data collection started in FY 2015</t>
  </si>
  <si>
    <t>Capital Equipment data collection started in FY 2017. However, Blank Custodian counts were not started until FY 2018.</t>
  </si>
  <si>
    <t>Reflects Metrics for processes in scope for FY 2019</t>
  </si>
  <si>
    <t>Count of Deposit Locations for FY 2017 is overstated.  There was a change in banks during the fiscal year, so there is an old and new location number for each bank.</t>
  </si>
  <si>
    <t>A. Taubman College of Arch &amp; Urban Plan</t>
  </si>
  <si>
    <t>Hospital &amp; Health Centers</t>
  </si>
  <si>
    <t>Rackham School of Graduate Studies</t>
  </si>
  <si>
    <t>Ross School of Business</t>
  </si>
  <si>
    <t>School of Music, Theatre and Dance</t>
  </si>
  <si>
    <t>Shared Services Center</t>
  </si>
  <si>
    <t>A. Taubman College of Arch. and Urban Plan.</t>
  </si>
  <si>
    <t>Certifying Units/Areas Totals</t>
  </si>
  <si>
    <t>A Taubman College of Architecture &amp; Urban Planning</t>
  </si>
  <si>
    <t>Certifying Units</t>
  </si>
  <si>
    <t>Institute for Continuing Legal Education</t>
  </si>
  <si>
    <t>Executive Vice President for Medical Affairs</t>
  </si>
  <si>
    <t>Investment Office</t>
  </si>
  <si>
    <t>A Taubman College of Architecture and Urban Planning</t>
  </si>
  <si>
    <t>In Service Assets</t>
  </si>
  <si>
    <t>In Service for 10 or more Years</t>
  </si>
  <si>
    <t>Average Years In Service</t>
  </si>
  <si>
    <t>Blank Custodians</t>
  </si>
  <si>
    <t>% of SP Assets</t>
  </si>
  <si>
    <t>University of Michigan - Dearborn</t>
  </si>
  <si>
    <t>University of Michigan - Flint</t>
  </si>
  <si>
    <t>SP Funds</t>
  </si>
  <si>
    <t>Underutilized as % of Total</t>
  </si>
  <si>
    <t>A. Taubman College of Architecture &amp; Urban Plan</t>
  </si>
  <si>
    <t>Division of Public Safety and Security</t>
  </si>
  <si>
    <t>Count of Depositors and how many were up to date on training data was not collected for FY 2016</t>
  </si>
  <si>
    <t>Count of Concur Approvers and how many were up to date on training data was not collected for FY 2016</t>
  </si>
  <si>
    <t>• Number of unique depositors up to date on training as a percentage of number of total depositors, as of 
  August 06, 2019</t>
  </si>
  <si>
    <t>• Authorized users up to date on training as a percentage of number of total authorized users, as of 
 August 06, 2019</t>
  </si>
  <si>
    <t>Audit Services</t>
  </si>
  <si>
    <t>U-M Office of Research</t>
  </si>
  <si>
    <t>Vice President for Communications</t>
  </si>
  <si>
    <t>N</t>
  </si>
  <si>
    <t>Concur</t>
  </si>
  <si>
    <t>Travel &amp; Expense Spend</t>
  </si>
  <si>
    <t>Cap Equip</t>
  </si>
  <si>
    <t>Travel Spend</t>
  </si>
  <si>
    <t>Other Spend</t>
  </si>
  <si>
    <t>Concur Approvers</t>
  </si>
  <si>
    <t>Total Spend</t>
  </si>
  <si>
    <t>Travel/Hosting</t>
  </si>
  <si>
    <t>Other</t>
  </si>
  <si>
    <t># of Open PCards</t>
  </si>
  <si>
    <t># of PCards open for at least 6 months*</t>
  </si>
  <si>
    <t># of Underutilized PCards**</t>
  </si>
  <si>
    <t># of PCards with No Activity***</t>
  </si>
  <si>
    <t>PCards with No Activity as % of Total</t>
  </si>
  <si>
    <t>Pcards</t>
  </si>
  <si>
    <t>SP Retro Pay</t>
  </si>
  <si>
    <t>Effort Cert</t>
  </si>
  <si>
    <t>Dollars Xfrd
% of Total Paid</t>
  </si>
  <si>
    <r>
      <t xml:space="preserve">Total Dollars Xfrd </t>
    </r>
    <r>
      <rPr>
        <b/>
        <u/>
        <sz val="10"/>
        <rFont val="Arial"/>
        <family val="2"/>
      </rPr>
      <t>&gt;</t>
    </r>
    <r>
      <rPr>
        <b/>
        <sz val="10"/>
        <rFont val="Arial"/>
        <family val="2"/>
      </rPr>
      <t xml:space="preserve"> 90 Days</t>
    </r>
  </si>
  <si>
    <r>
      <t xml:space="preserve">Xfrd </t>
    </r>
    <r>
      <rPr>
        <b/>
        <u/>
        <sz val="10"/>
        <rFont val="Arial"/>
        <family val="2"/>
      </rPr>
      <t>&gt;</t>
    </r>
    <r>
      <rPr>
        <b/>
        <sz val="10"/>
        <rFont val="Arial"/>
        <family val="2"/>
      </rPr>
      <t xml:space="preserve"> 90 days
% of Total Paid</t>
    </r>
  </si>
  <si>
    <t>University of Michigan  Dearborn</t>
  </si>
  <si>
    <t>University of Michigan  Flint</t>
  </si>
  <si>
    <t>Sponsored Programs Total Dollars Paid</t>
  </si>
  <si>
    <t>Sponsored Programs Total Dollars Xfrd</t>
  </si>
  <si>
    <t>Total $ After PG End Date</t>
  </si>
  <si>
    <t>Travel</t>
  </si>
  <si>
    <t>Travel and Expense Spend</t>
  </si>
  <si>
    <t>FY 2020</t>
  </si>
  <si>
    <t>Financial Aid (Academic Year)</t>
  </si>
  <si>
    <t>Financial Aid</t>
  </si>
  <si>
    <t>Capital Equip</t>
  </si>
  <si>
    <t>SP Capital Equip</t>
  </si>
  <si>
    <t>TBD</t>
  </si>
  <si>
    <t>• Based on spending from 7/1/2015 - 06/30/2020</t>
  </si>
  <si>
    <t>• FY2016 through FY2020 (06/30/2020) data</t>
  </si>
  <si>
    <t>• Based on gift balance FY2016 through FY2020 (06/30/2020) data</t>
  </si>
  <si>
    <r>
      <t xml:space="preserve">• FY2016 through FY2020 (06/30/2020) data, as of </t>
    </r>
    <r>
      <rPr>
        <sz val="11"/>
        <color rgb="FFFF0000"/>
        <rFont val="Calibri"/>
        <family val="2"/>
        <scheme val="minor"/>
      </rPr>
      <t>August 21, 2019</t>
    </r>
  </si>
  <si>
    <t>SP Transfers Onto &amp; after P/G End Date</t>
  </si>
  <si>
    <t>Totals</t>
  </si>
  <si>
    <t>AY 2020</t>
  </si>
  <si>
    <t># of students</t>
  </si>
  <si>
    <r>
      <t xml:space="preserve">• Approvers up to date on training as a percentage of number of final expense approvers (limited to Certifying 
   Unit's Appointing DeptIDs) as of </t>
    </r>
    <r>
      <rPr>
        <sz val="11"/>
        <color rgb="FFFF0000"/>
        <rFont val="Calibri"/>
        <family val="2"/>
        <scheme val="minor"/>
      </rPr>
      <t>July 14, 2020</t>
    </r>
  </si>
  <si>
    <r>
      <t xml:space="preserve">• FY2016 through FY2020 (06/30/2020) data as of </t>
    </r>
    <r>
      <rPr>
        <sz val="11"/>
        <color rgb="FFFF0000"/>
        <rFont val="Calibri"/>
        <family val="2"/>
        <scheme val="minor"/>
      </rPr>
      <t>July 10, 2020</t>
    </r>
  </si>
  <si>
    <r>
      <t xml:space="preserve">• AY2016 through AY2020 (06/30/2020) data, as of </t>
    </r>
    <r>
      <rPr>
        <sz val="11"/>
        <color rgb="FFFF0000"/>
        <rFont val="Calibri"/>
        <family val="2"/>
        <scheme val="minor"/>
      </rPr>
      <t>July 29,2020</t>
    </r>
  </si>
  <si>
    <r>
      <t xml:space="preserve">• FY2017 through FY2020 (06/30/2020) data, as of </t>
    </r>
    <r>
      <rPr>
        <sz val="11"/>
        <color rgb="FFFF0000"/>
        <rFont val="Calibri"/>
        <family val="2"/>
        <scheme val="minor"/>
      </rPr>
      <t>July 10, 2020</t>
    </r>
  </si>
  <si>
    <t>FY 2016 through FY 2020  Scorecard Assumptions</t>
  </si>
  <si>
    <t xml:space="preserve">This report shows 5 years worth of data, and red/yellow/green coding for various Internal Control topics as well as Certification Responses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</si>
</sst>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quot;$&quot;#,##0.0"/>
    <numFmt numFmtId="168" formatCode="&quot;$&quot;#,##0.0_);\(&quot;$&quot;#,##0.0\)"/>
    <numFmt numFmtId="169" formatCode="&quot;$&quot;#,##0.00"/>
    <numFmt numFmtId="170" formatCode="0.0"/>
    <numFmt numFmtId="171" formatCode="#,##0.0_);\(#,##0.0\)"/>
    <numFmt numFmtId="172" formatCode="[$-10409]&quot;$&quot;#,##0;\(&quot;$&quot;#,##0\)"/>
  </numFmts>
  <fonts count="75"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0"/>
      <name val="Arial"/>
      <family val="2"/>
    </font>
    <font>
      <sz val="11"/>
      <color indexed="8"/>
      <name val="Calibri"/>
      <family val="2"/>
      <scheme val="minor"/>
    </font>
    <font>
      <b/>
      <sz val="11"/>
      <color theme="1"/>
      <name val="Calibri"/>
      <family val="2"/>
      <scheme val="minor"/>
    </font>
    <font>
      <b/>
      <u/>
      <sz val="12"/>
      <color theme="1"/>
      <name val="Calibri"/>
      <family val="2"/>
      <scheme val="minor"/>
    </font>
    <font>
      <u/>
      <sz val="11"/>
      <color theme="1"/>
      <name val="Calibri"/>
      <family val="2"/>
      <scheme val="minor"/>
    </font>
    <font>
      <u/>
      <sz val="12"/>
      <color theme="1"/>
      <name val="Calibri"/>
      <family val="2"/>
      <scheme val="minor"/>
    </font>
    <font>
      <b/>
      <sz val="11"/>
      <color rgb="FFFF0000"/>
      <name val="Calibri"/>
      <family val="2"/>
      <scheme val="minor"/>
    </font>
    <font>
      <sz val="10"/>
      <color rgb="FF000000"/>
      <name val="Arial"/>
      <family val="2"/>
    </font>
    <font>
      <b/>
      <u/>
      <sz val="16"/>
      <color theme="1"/>
      <name val="Calibri"/>
      <family val="2"/>
      <scheme val="minor"/>
    </font>
    <font>
      <b/>
      <u/>
      <sz val="11"/>
      <color theme="1"/>
      <name val="Calibri"/>
      <family val="2"/>
      <scheme val="minor"/>
    </font>
    <font>
      <sz val="10"/>
      <color rgb="FFCC0000"/>
      <name val="Arial"/>
      <family val="2"/>
    </font>
    <font>
      <sz val="11"/>
      <name val="Calibri"/>
      <family val="2"/>
      <scheme val="minor"/>
    </font>
    <font>
      <sz val="10"/>
      <color rgb="FFD6A300"/>
      <name val="Arial"/>
      <family val="2"/>
    </font>
    <font>
      <sz val="10"/>
      <color rgb="FF008000"/>
      <name val="Arial"/>
      <family val="2"/>
    </font>
    <font>
      <sz val="12"/>
      <color theme="1"/>
      <name val="Calibri"/>
      <family val="2"/>
      <scheme val="minor"/>
    </font>
    <font>
      <sz val="11"/>
      <color rgb="FFFF0000"/>
      <name val="Calibri"/>
      <family val="2"/>
      <scheme val="minor"/>
    </font>
    <font>
      <b/>
      <sz val="11"/>
      <color rgb="FF000000"/>
      <name val="Calibri"/>
      <family val="2"/>
      <scheme val="minor"/>
    </font>
    <font>
      <b/>
      <sz val="11"/>
      <name val="Calibri"/>
      <family val="2"/>
      <scheme val="minor"/>
    </font>
    <font>
      <b/>
      <i/>
      <sz val="10"/>
      <name val="Arial"/>
      <family val="2"/>
    </font>
    <font>
      <sz val="10"/>
      <color rgb="FF000000"/>
      <name val="Arial"/>
      <family val="2"/>
    </font>
    <font>
      <sz val="10"/>
      <color rgb="FF000000"/>
      <name val="Arial"/>
      <family val="2"/>
    </font>
    <font>
      <sz val="10"/>
      <color rgb="FF000000"/>
      <name val="Arial"/>
      <family val="2"/>
    </font>
    <font>
      <b/>
      <u/>
      <sz val="14"/>
      <color theme="1"/>
      <name val="Calibri"/>
      <family val="2"/>
      <scheme val="minor"/>
    </font>
    <font>
      <b/>
      <sz val="14"/>
      <color theme="1"/>
      <name val="Calibri"/>
      <family val="2"/>
      <scheme val="minor"/>
    </font>
    <font>
      <b/>
      <sz val="12"/>
      <color theme="1"/>
      <name val="Calibri"/>
      <family val="2"/>
      <scheme val="minor"/>
    </font>
    <font>
      <b/>
      <sz val="24"/>
      <color rgb="FFFF0000"/>
      <name val="Calibri"/>
      <family val="2"/>
      <scheme val="minor"/>
    </font>
    <font>
      <b/>
      <i/>
      <sz val="14"/>
      <color theme="1"/>
      <name val="Calibri"/>
      <family val="2"/>
      <scheme val="minor"/>
    </font>
    <font>
      <b/>
      <sz val="12"/>
      <color theme="1"/>
      <name val="Calibri"/>
      <family val="2"/>
    </font>
    <font>
      <b/>
      <sz val="11"/>
      <color theme="0"/>
      <name val="Calibri"/>
      <family val="2"/>
      <scheme val="minor"/>
    </font>
    <font>
      <sz val="24"/>
      <color theme="4" tint="-0.499984740745262"/>
      <name val="Cambria"/>
      <family val="2"/>
      <scheme val="major"/>
    </font>
    <font>
      <sz val="11"/>
      <color theme="1" tint="0.34998626667073579"/>
      <name val="Cambria"/>
      <family val="2"/>
      <scheme val="major"/>
    </font>
    <font>
      <sz val="14"/>
      <color theme="3" tint="0.34998626667073579"/>
      <name val="Calibri"/>
      <family val="2"/>
      <scheme val="minor"/>
    </font>
    <font>
      <i/>
      <sz val="11"/>
      <color theme="4" tint="-0.499984740745262"/>
      <name val="Calibri"/>
      <family val="2"/>
      <scheme val="minor"/>
    </font>
    <font>
      <sz val="14"/>
      <color theme="1" tint="0.34998626667073579"/>
      <name val="Cambria"/>
      <family val="2"/>
      <scheme val="major"/>
    </font>
    <font>
      <sz val="20"/>
      <color theme="1" tint="0.34998626667073579"/>
      <name val="Calibri"/>
      <family val="2"/>
      <scheme val="minor"/>
    </font>
    <font>
      <sz val="18"/>
      <color theme="1" tint="0.34998626667073579"/>
      <name val="Calibri"/>
      <family val="2"/>
      <scheme val="minor"/>
    </font>
    <font>
      <sz val="12"/>
      <color theme="1" tint="0.34998626667073579"/>
      <name val="Calibri"/>
      <family val="2"/>
      <scheme val="minor"/>
    </font>
    <font>
      <sz val="11"/>
      <color theme="1"/>
      <name val="Calibri"/>
      <family val="2"/>
      <scheme val="minor"/>
    </font>
    <font>
      <b/>
      <sz val="14"/>
      <color theme="1"/>
      <name val="Calibri"/>
      <family val="2"/>
      <scheme val="minor"/>
    </font>
    <font>
      <sz val="24"/>
      <color rgb="FF0070C0"/>
      <name val="Arial"/>
      <family val="2"/>
    </font>
    <font>
      <sz val="11"/>
      <color theme="1" tint="0.34998626667073579"/>
      <name val="Arial"/>
      <family val="2"/>
    </font>
    <font>
      <sz val="20"/>
      <color theme="1" tint="0.34998626667073579"/>
      <name val="Arial"/>
      <family val="2"/>
    </font>
    <font>
      <b/>
      <sz val="11"/>
      <color theme="0"/>
      <name val="Arial"/>
      <family val="2"/>
    </font>
    <font>
      <b/>
      <sz val="18"/>
      <name val="Arial"/>
      <family val="2"/>
    </font>
    <font>
      <sz val="14"/>
      <color theme="1" tint="0.34998626667073579"/>
      <name val="Arial"/>
      <family val="2"/>
    </font>
    <font>
      <sz val="12"/>
      <color theme="1" tint="0.34998626667073579"/>
      <name val="Arial"/>
      <family val="2"/>
    </font>
    <font>
      <sz val="14"/>
      <color theme="0" tint="-0.34998626667073579"/>
      <name val="Arial"/>
      <family val="2"/>
    </font>
    <font>
      <sz val="11"/>
      <color theme="1"/>
      <name val="Arial"/>
      <family val="2"/>
    </font>
    <font>
      <b/>
      <sz val="24"/>
      <name val="Arial"/>
      <family val="2"/>
    </font>
    <font>
      <sz val="24"/>
      <color theme="4" tint="-0.499984740745262"/>
      <name val="Arial"/>
      <family val="2"/>
    </font>
    <font>
      <sz val="14"/>
      <color theme="3" tint="0.34998626667073579"/>
      <name val="Arial"/>
      <family val="2"/>
    </font>
    <font>
      <b/>
      <i/>
      <sz val="12"/>
      <color rgb="FFFF0000"/>
      <name val="Arial"/>
      <family val="2"/>
    </font>
    <font>
      <i/>
      <sz val="11"/>
      <color theme="4" tint="-0.499984740745262"/>
      <name val="Arial"/>
      <family val="2"/>
    </font>
    <font>
      <sz val="11"/>
      <color theme="1" tint="0.499984740745262"/>
      <name val="Arial"/>
      <family val="2"/>
    </font>
    <font>
      <sz val="11"/>
      <color theme="4" tint="-0.249977111117893"/>
      <name val="Arial"/>
      <family val="2"/>
    </font>
    <font>
      <u/>
      <sz val="11"/>
      <color theme="1" tint="0.34998626667073579"/>
      <name val="Arial"/>
      <family val="2"/>
    </font>
    <font>
      <b/>
      <sz val="11"/>
      <color rgb="FFFF0000"/>
      <name val="Arial"/>
      <family val="2"/>
    </font>
    <font>
      <b/>
      <sz val="12"/>
      <name val="Arial"/>
      <family val="2"/>
    </font>
    <font>
      <b/>
      <sz val="10"/>
      <color theme="1"/>
      <name val="Arial"/>
      <family val="2"/>
    </font>
    <font>
      <b/>
      <u/>
      <sz val="18"/>
      <color theme="1"/>
      <name val="Calibri"/>
      <family val="2"/>
      <scheme val="minor"/>
    </font>
    <font>
      <b/>
      <sz val="18"/>
      <color theme="1"/>
      <name val="Calibri"/>
      <family val="2"/>
      <scheme val="minor"/>
    </font>
    <font>
      <b/>
      <i/>
      <sz val="18"/>
      <name val="Calibri"/>
      <family val="2"/>
      <scheme val="minor"/>
    </font>
    <font>
      <b/>
      <sz val="12"/>
      <color theme="0"/>
      <name val="Arial"/>
      <family val="2"/>
    </font>
    <font>
      <b/>
      <sz val="12"/>
      <color theme="1"/>
      <name val="Arial"/>
      <family val="2"/>
    </font>
    <font>
      <sz val="18"/>
      <name val="Arial"/>
      <family val="2"/>
    </font>
    <font>
      <sz val="11"/>
      <name val="Arial"/>
      <family val="2"/>
    </font>
    <font>
      <b/>
      <sz val="11"/>
      <name val="Arial"/>
      <family val="2"/>
    </font>
    <font>
      <b/>
      <sz val="10"/>
      <name val="Arial"/>
      <family val="2"/>
    </font>
    <font>
      <b/>
      <u/>
      <sz val="10"/>
      <name val="Arial"/>
      <family val="2"/>
    </font>
    <font>
      <b/>
      <sz val="11"/>
      <color theme="1" tint="0.34998626667073579"/>
      <name val="Arial"/>
      <family val="2"/>
    </font>
    <font>
      <sz val="12"/>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rgb="FFFFFFFF"/>
        <bgColor rgb="FFFFFFFF"/>
      </patternFill>
    </fill>
    <fill>
      <patternFill patternType="solid">
        <fgColor theme="3"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CC"/>
        <bgColor indexed="64"/>
      </patternFill>
    </fill>
    <fill>
      <patternFill patternType="solid">
        <fgColor theme="4" tint="-0.499984740745262"/>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3" tint="0.59999389629810485"/>
        <bgColor indexed="64"/>
      </patternFill>
    </fill>
    <fill>
      <patternFill patternType="solid">
        <fgColor rgb="FFFFFF99"/>
        <bgColor indexed="64"/>
      </patternFill>
    </fill>
  </fills>
  <borders count="58">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top/>
      <bottom style="thin">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auto="1"/>
      </left>
      <right/>
      <top/>
      <bottom/>
      <diagonal/>
    </border>
    <border>
      <left/>
      <right style="dashed">
        <color auto="1"/>
      </right>
      <top/>
      <bottom/>
      <diagonal/>
    </border>
    <border>
      <left style="medium">
        <color auto="1"/>
      </left>
      <right style="medium">
        <color auto="1"/>
      </right>
      <top style="medium">
        <color auto="1"/>
      </top>
      <bottom style="medium">
        <color auto="1"/>
      </bottom>
      <diagonal/>
    </border>
    <border>
      <left/>
      <right/>
      <top/>
      <bottom style="thin">
        <color theme="0" tint="-0.14996795556505021"/>
      </bottom>
      <diagonal/>
    </border>
    <border>
      <left/>
      <right/>
      <top style="thin">
        <color theme="0" tint="-0.14996795556505021"/>
      </top>
      <bottom/>
      <diagonal/>
    </border>
    <border>
      <left/>
      <right/>
      <top style="thin">
        <color theme="0" tint="-0.14996795556505021"/>
      </top>
      <bottom style="thin">
        <color theme="0" tint="-0.14996795556505021"/>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top style="medium">
        <color theme="0" tint="-0.34998626667073579"/>
      </top>
      <bottom/>
      <diagonal/>
    </border>
    <border>
      <left/>
      <right/>
      <top style="medium">
        <color theme="1" tint="0.34998626667073579"/>
      </top>
      <bottom style="medium">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top/>
      <bottom style="dashed">
        <color theme="1" tint="0.34998626667073579"/>
      </bottom>
      <diagonal/>
    </border>
    <border>
      <left style="medium">
        <color theme="1" tint="0.34998626667073579"/>
      </left>
      <right style="medium">
        <color theme="1" tint="0.34998626667073579"/>
      </right>
      <top/>
      <bottom style="dashed">
        <color theme="1" tint="0.34998626667073579"/>
      </bottom>
      <diagonal/>
    </border>
    <border>
      <left/>
      <right style="medium">
        <color theme="1" tint="0.34998626667073579"/>
      </right>
      <top/>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top style="dashed">
        <color theme="1" tint="0.34998626667073579"/>
      </top>
      <bottom/>
      <diagonal/>
    </border>
    <border>
      <left/>
      <right/>
      <top style="dashed">
        <color theme="1" tint="0.34998626667073579"/>
      </top>
      <bottom/>
      <diagonal/>
    </border>
    <border>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diagonal/>
    </border>
    <border>
      <left style="medium">
        <color theme="1" tint="0.34998626667073579"/>
      </left>
      <right/>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style="medium">
        <color theme="1" tint="0.34998626667073579"/>
      </top>
      <bottom style="thin">
        <color theme="0" tint="-0.14996795556505021"/>
      </bottom>
      <diagonal/>
    </border>
    <border>
      <left/>
      <right/>
      <top style="thin">
        <color theme="0" tint="-0.14996795556505021"/>
      </top>
      <bottom style="thin">
        <color theme="1" tint="0.34998626667073579"/>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3743705557422"/>
      </bottom>
      <diagonal/>
    </border>
    <border>
      <left/>
      <right/>
      <top/>
      <bottom style="thin">
        <color theme="0" tint="-0.14993743705557422"/>
      </bottom>
      <diagonal/>
    </border>
    <border>
      <left/>
      <right/>
      <top/>
      <bottom style="thin">
        <color theme="4" tint="0.39997558519241921"/>
      </bottom>
      <diagonal/>
    </border>
    <border>
      <left style="medium">
        <color auto="1"/>
      </left>
      <right/>
      <top/>
      <bottom style="dashed">
        <color auto="1"/>
      </bottom>
      <diagonal/>
    </border>
    <border>
      <left/>
      <right style="medium">
        <color auto="1"/>
      </right>
      <top/>
      <bottom style="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2">
    <xf numFmtId="0" fontId="0" fillId="0" borderId="0"/>
    <xf numFmtId="0" fontId="2" fillId="0" borderId="0"/>
    <xf numFmtId="0" fontId="3" fillId="0" borderId="0"/>
    <xf numFmtId="0" fontId="1"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4" fillId="0" borderId="0"/>
    <xf numFmtId="9" fontId="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43" fontId="5" fillId="0" borderId="0" applyFont="0" applyFill="0" applyBorder="0" applyAlignment="0" applyProtection="0"/>
    <xf numFmtId="0" fontId="3" fillId="0" borderId="0"/>
    <xf numFmtId="44"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0" borderId="0"/>
    <xf numFmtId="0" fontId="3" fillId="0" borderId="0"/>
    <xf numFmtId="0" fontId="2"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1" fillId="0" borderId="0"/>
    <xf numFmtId="43" fontId="2" fillId="0" borderId="0" applyFont="0" applyFill="0" applyBorder="0" applyAlignment="0" applyProtection="0"/>
    <xf numFmtId="0" fontId="1" fillId="0" borderId="0"/>
    <xf numFmtId="9" fontId="3" fillId="0" borderId="0" applyFont="0" applyFill="0" applyBorder="0" applyAlignment="0" applyProtection="0"/>
    <xf numFmtId="9" fontId="1" fillId="0" borderId="0" applyFont="0" applyFill="0" applyBorder="0" applyAlignment="0" applyProtection="0"/>
    <xf numFmtId="0" fontId="1" fillId="0" borderId="0"/>
    <xf numFmtId="43" fontId="22" fillId="0" borderId="0" applyFont="0" applyFill="0" applyBorder="0" applyAlignment="0" applyProtection="0"/>
    <xf numFmtId="0" fontId="3" fillId="0" borderId="0"/>
    <xf numFmtId="0" fontId="2" fillId="0" borderId="0"/>
    <xf numFmtId="0" fontId="3" fillId="0" borderId="0"/>
    <xf numFmtId="0" fontId="23" fillId="0" borderId="0"/>
    <xf numFmtId="43" fontId="2" fillId="0" borderId="0" applyFont="0" applyFill="0" applyBorder="0" applyAlignment="0" applyProtection="0"/>
    <xf numFmtId="0" fontId="24" fillId="0" borderId="0"/>
    <xf numFmtId="0" fontId="25" fillId="0" borderId="0"/>
    <xf numFmtId="0" fontId="5" fillId="0" borderId="0"/>
    <xf numFmtId="0" fontId="25" fillId="0" borderId="0"/>
    <xf numFmtId="0" fontId="33" fillId="0" borderId="0" applyNumberFormat="0" applyFill="0" applyBorder="0" applyAlignment="0" applyProtection="0"/>
    <xf numFmtId="0" fontId="34" fillId="0" borderId="0" applyFill="0" applyBorder="0">
      <alignment vertical="center" wrapText="1"/>
    </xf>
    <xf numFmtId="0" fontId="35" fillId="0" borderId="0" applyNumberFormat="0" applyFill="0" applyBorder="0" applyAlignment="0" applyProtection="0"/>
    <xf numFmtId="0" fontId="36" fillId="0" borderId="0" applyNumberFormat="0" applyFill="0" applyBorder="0" applyAlignment="0" applyProtection="0">
      <alignment vertical="center"/>
    </xf>
    <xf numFmtId="0" fontId="37" fillId="0" borderId="25" applyNumberFormat="0" applyFill="0" applyProtection="0">
      <alignment vertical="center"/>
    </xf>
    <xf numFmtId="0" fontId="39" fillId="0" borderId="0" applyNumberFormat="0" applyFill="0" applyBorder="0" applyAlignment="0" applyProtection="0"/>
    <xf numFmtId="0" fontId="32" fillId="13" borderId="0">
      <alignment horizontal="center" vertical="center"/>
    </xf>
    <xf numFmtId="5" fontId="38" fillId="0" borderId="33">
      <alignment horizontal="center" vertical="center"/>
    </xf>
    <xf numFmtId="9" fontId="40" fillId="0" borderId="0">
      <alignment horizontal="left" vertical="center" indent="1"/>
    </xf>
    <xf numFmtId="43" fontId="1" fillId="0" borderId="0" applyFont="0" applyFill="0" applyBorder="0" applyAlignment="0" applyProtection="0"/>
    <xf numFmtId="44" fontId="3" fillId="0" borderId="0" applyFont="0" applyFill="0" applyBorder="0" applyAlignment="0" applyProtection="0"/>
  </cellStyleXfs>
  <cellXfs count="422">
    <xf numFmtId="0" fontId="0" fillId="0" borderId="0" xfId="0"/>
    <xf numFmtId="0" fontId="0" fillId="0" borderId="0" xfId="0" applyBorder="1"/>
    <xf numFmtId="0" fontId="0" fillId="0" borderId="0" xfId="0" applyFill="1" applyBorder="1" applyAlignment="1">
      <alignment horizontal="right"/>
    </xf>
    <xf numFmtId="0" fontId="0" fillId="0" borderId="0" xfId="0" applyFill="1" applyBorder="1"/>
    <xf numFmtId="0" fontId="0" fillId="0" borderId="0" xfId="0" applyFill="1"/>
    <xf numFmtId="0" fontId="0" fillId="0" borderId="0" xfId="0" applyAlignment="1">
      <alignment horizontal="center" wrapText="1"/>
    </xf>
    <xf numFmtId="0" fontId="0" fillId="0" borderId="0" xfId="0" applyFont="1" applyFill="1" applyBorder="1" applyAlignment="1">
      <alignment horizontal="center" wrapText="1"/>
    </xf>
    <xf numFmtId="0" fontId="0" fillId="0" borderId="8" xfId="0" applyBorder="1" applyAlignment="1">
      <alignment horizontal="left"/>
    </xf>
    <xf numFmtId="164" fontId="14" fillId="0" borderId="0" xfId="0" applyNumberFormat="1" applyFont="1" applyFill="1" applyBorder="1" applyAlignment="1">
      <alignment horizontal="center"/>
    </xf>
    <xf numFmtId="164" fontId="16"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13" fillId="0" borderId="0" xfId="0" applyFont="1" applyFill="1" applyBorder="1" applyAlignment="1"/>
    <xf numFmtId="0" fontId="15" fillId="0" borderId="0" xfId="2" applyFont="1" applyFill="1" applyBorder="1" applyAlignment="1">
      <alignment horizontal="left"/>
    </xf>
    <xf numFmtId="0" fontId="15" fillId="0" borderId="0" xfId="13" applyFont="1" applyFill="1" applyAlignment="1">
      <alignment horizontal="center"/>
    </xf>
    <xf numFmtId="0" fontId="0" fillId="0" borderId="0" xfId="0" applyBorder="1" applyAlignment="1">
      <alignment horizontal="left" wrapText="1"/>
    </xf>
    <xf numFmtId="0" fontId="6" fillId="0" borderId="0" xfId="0" applyFont="1"/>
    <xf numFmtId="0" fontId="0" fillId="0" borderId="0" xfId="0" applyFont="1"/>
    <xf numFmtId="165" fontId="0" fillId="0" borderId="0" xfId="36" applyNumberFormat="1" applyFont="1"/>
    <xf numFmtId="0" fontId="0" fillId="0" borderId="0" xfId="0" applyBorder="1" applyAlignment="1">
      <alignment horizontal="right"/>
    </xf>
    <xf numFmtId="0" fontId="0" fillId="0" borderId="0" xfId="0" applyFill="1" applyBorder="1" applyAlignment="1">
      <alignment horizontal="left"/>
    </xf>
    <xf numFmtId="0" fontId="15"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horizontal="left" vertical="top"/>
    </xf>
    <xf numFmtId="0" fontId="0" fillId="0" borderId="0" xfId="0" applyFill="1" applyBorder="1" applyAlignment="1">
      <alignment horizontal="left" wrapText="1"/>
    </xf>
    <xf numFmtId="0" fontId="15" fillId="0" borderId="0" xfId="0" applyFont="1" applyFill="1" applyBorder="1" applyAlignment="1">
      <alignment horizontal="left" wrapText="1"/>
    </xf>
    <xf numFmtId="0" fontId="6" fillId="0" borderId="0" xfId="0" applyFont="1" applyAlignment="1">
      <alignment horizontal="right"/>
    </xf>
    <xf numFmtId="164" fontId="0" fillId="0" borderId="0" xfId="12" applyNumberFormat="1" applyFont="1" applyAlignment="1">
      <alignment horizontal="center"/>
    </xf>
    <xf numFmtId="164" fontId="6" fillId="0" borderId="2" xfId="12" applyNumberFormat="1" applyFont="1" applyBorder="1" applyAlignment="1">
      <alignment horizontal="center"/>
    </xf>
    <xf numFmtId="3" fontId="6" fillId="0" borderId="2" xfId="0" applyNumberFormat="1" applyFont="1" applyBorder="1" applyAlignment="1">
      <alignment horizontal="center"/>
    </xf>
    <xf numFmtId="0" fontId="6" fillId="0" borderId="0" xfId="0" applyFont="1" applyAlignment="1">
      <alignment horizontal="center"/>
    </xf>
    <xf numFmtId="0" fontId="6" fillId="5" borderId="0" xfId="0" applyFont="1" applyFill="1" applyAlignment="1">
      <alignment horizontal="center"/>
    </xf>
    <xf numFmtId="0" fontId="6" fillId="5" borderId="0" xfId="0" applyFont="1" applyFill="1" applyAlignment="1">
      <alignment horizontal="left"/>
    </xf>
    <xf numFmtId="0" fontId="6" fillId="7" borderId="0" xfId="0" applyFont="1" applyFill="1"/>
    <xf numFmtId="0" fontId="0" fillId="0" borderId="0" xfId="0" applyFont="1" applyAlignment="1">
      <alignment horizontal="center"/>
    </xf>
    <xf numFmtId="164" fontId="0" fillId="0" borderId="0" xfId="0" applyNumberFormat="1" applyFont="1"/>
    <xf numFmtId="41" fontId="15" fillId="0" borderId="0" xfId="2" applyNumberFormat="1" applyFont="1" applyFill="1" applyAlignment="1">
      <alignment horizontal="right"/>
    </xf>
    <xf numFmtId="41" fontId="21" fillId="0" borderId="2" xfId="2" applyNumberFormat="1" applyFont="1" applyFill="1" applyBorder="1" applyAlignment="1">
      <alignment horizontal="right"/>
    </xf>
    <xf numFmtId="41" fontId="10" fillId="0" borderId="0" xfId="2" applyNumberFormat="1" applyFont="1" applyFill="1" applyAlignment="1">
      <alignment horizontal="right"/>
    </xf>
    <xf numFmtId="0" fontId="6" fillId="0" borderId="0" xfId="0" applyFont="1" applyFill="1"/>
    <xf numFmtId="0" fontId="6" fillId="6" borderId="0" xfId="0" applyFont="1" applyFill="1"/>
    <xf numFmtId="49" fontId="20" fillId="3" borderId="4" xfId="21" applyNumberFormat="1" applyFont="1" applyFill="1" applyBorder="1" applyAlignment="1">
      <alignment horizontal="center" wrapText="1"/>
    </xf>
    <xf numFmtId="0" fontId="6" fillId="0" borderId="0" xfId="0" applyFont="1" applyAlignment="1">
      <alignment horizontal="center" wrapText="1"/>
    </xf>
    <xf numFmtId="0" fontId="6" fillId="0" borderId="0" xfId="0" applyFont="1" applyAlignment="1">
      <alignment wrapText="1"/>
    </xf>
    <xf numFmtId="0" fontId="6" fillId="0" borderId="0" xfId="0" applyFont="1" applyAlignment="1">
      <alignment horizontal="left"/>
    </xf>
    <xf numFmtId="3" fontId="0" fillId="0" borderId="0" xfId="0" applyNumberFormat="1" applyFont="1" applyAlignment="1">
      <alignment horizontal="center"/>
    </xf>
    <xf numFmtId="0" fontId="0" fillId="2" borderId="0" xfId="0" applyFont="1" applyFill="1"/>
    <xf numFmtId="0" fontId="6" fillId="2" borderId="0" xfId="0" applyFont="1" applyFill="1"/>
    <xf numFmtId="0" fontId="21" fillId="2" borderId="0" xfId="0" applyFont="1" applyFill="1"/>
    <xf numFmtId="0" fontId="6" fillId="8" borderId="0" xfId="0" applyFont="1" applyFill="1"/>
    <xf numFmtId="0" fontId="21" fillId="8" borderId="0" xfId="0" applyFont="1" applyFill="1"/>
    <xf numFmtId="0" fontId="0" fillId="8" borderId="0" xfId="0" applyFont="1" applyFill="1"/>
    <xf numFmtId="0" fontId="19" fillId="2" borderId="0" xfId="0" applyFont="1" applyFill="1" applyAlignment="1">
      <alignment horizontal="center"/>
    </xf>
    <xf numFmtId="0" fontId="0" fillId="0" borderId="0" xfId="0" applyBorder="1" applyAlignment="1">
      <alignment horizontal="center" wrapText="1"/>
    </xf>
    <xf numFmtId="0" fontId="13" fillId="0" borderId="0" xfId="0" applyFont="1" applyFill="1" applyBorder="1" applyAlignment="1">
      <alignment horizontal="left" indent="1"/>
    </xf>
    <xf numFmtId="0" fontId="0" fillId="0" borderId="0" xfId="0" applyFill="1" applyBorder="1" applyAlignment="1">
      <alignment vertical="top"/>
    </xf>
    <xf numFmtId="0" fontId="26" fillId="0" borderId="0" xfId="0" applyFont="1" applyAlignment="1">
      <alignment horizontal="center"/>
    </xf>
    <xf numFmtId="0" fontId="6" fillId="9" borderId="0" xfId="0" applyFont="1" applyFill="1"/>
    <xf numFmtId="0" fontId="15" fillId="9" borderId="0" xfId="0" applyFont="1" applyFill="1" applyAlignment="1">
      <alignment horizontal="center"/>
    </xf>
    <xf numFmtId="0" fontId="21" fillId="9" borderId="0" xfId="0" applyFont="1" applyFill="1"/>
    <xf numFmtId="0" fontId="0" fillId="0" borderId="0" xfId="0" applyBorder="1" applyAlignment="1">
      <alignment vertical="top"/>
    </xf>
    <xf numFmtId="0" fontId="13" fillId="0" borderId="0" xfId="0" applyFont="1" applyFill="1" applyBorder="1" applyAlignment="1">
      <alignment horizontal="left" vertical="top"/>
    </xf>
    <xf numFmtId="0" fontId="0" fillId="0" borderId="0" xfId="0" applyFill="1" applyBorder="1" applyAlignment="1">
      <alignment horizontal="left" vertical="top" wrapText="1"/>
    </xf>
    <xf numFmtId="0" fontId="13" fillId="0" borderId="0" xfId="0" applyFont="1" applyFill="1" applyBorder="1" applyAlignment="1">
      <alignment vertical="top"/>
    </xf>
    <xf numFmtId="0" fontId="0" fillId="0" borderId="0" xfId="0" quotePrefix="1" applyFill="1" applyBorder="1" applyAlignment="1">
      <alignment horizontal="left" vertical="top"/>
    </xf>
    <xf numFmtId="0" fontId="0" fillId="0" borderId="0" xfId="0" applyAlignment="1">
      <alignment vertical="top"/>
    </xf>
    <xf numFmtId="0" fontId="0" fillId="0" borderId="0" xfId="0" applyFill="1" applyBorder="1" applyAlignment="1">
      <alignment horizontal="left" vertical="top" wrapText="1" indent="2"/>
    </xf>
    <xf numFmtId="0" fontId="0" fillId="0" borderId="0" xfId="0" applyFill="1" applyBorder="1" applyAlignment="1">
      <alignment horizontal="left" vertical="top" indent="2"/>
    </xf>
    <xf numFmtId="0" fontId="0" fillId="0" borderId="0" xfId="0" applyBorder="1" applyAlignment="1">
      <alignment horizontal="left"/>
    </xf>
    <xf numFmtId="0" fontId="6" fillId="4" borderId="0" xfId="0" applyFont="1" applyFill="1" applyAlignment="1">
      <alignment horizontal="left"/>
    </xf>
    <xf numFmtId="0" fontId="6" fillId="4" borderId="0" xfId="0" applyFont="1" applyFill="1" applyAlignment="1">
      <alignment horizontal="center"/>
    </xf>
    <xf numFmtId="0" fontId="6" fillId="10" borderId="0" xfId="0" applyFont="1" applyFill="1"/>
    <xf numFmtId="0" fontId="15" fillId="0" borderId="0" xfId="0" applyFont="1" applyFill="1"/>
    <xf numFmtId="0" fontId="6" fillId="11" borderId="0" xfId="0" applyFont="1" applyFill="1"/>
    <xf numFmtId="0" fontId="21" fillId="0" borderId="0" xfId="0" applyFont="1" applyFill="1"/>
    <xf numFmtId="0" fontId="21" fillId="0" borderId="0" xfId="0" applyFont="1" applyFill="1" applyAlignment="1">
      <alignment horizontal="center" wrapText="1"/>
    </xf>
    <xf numFmtId="0" fontId="15" fillId="0" borderId="0" xfId="0" applyFont="1" applyFill="1" applyAlignment="1">
      <alignment horizontal="center"/>
    </xf>
    <xf numFmtId="3" fontId="21" fillId="0" borderId="2" xfId="0" applyNumberFormat="1" applyFont="1" applyFill="1" applyBorder="1" applyAlignment="1">
      <alignment horizontal="center"/>
    </xf>
    <xf numFmtId="0" fontId="21" fillId="5" borderId="0" xfId="0" applyFont="1" applyFill="1" applyAlignment="1">
      <alignment horizontal="center"/>
    </xf>
    <xf numFmtId="0" fontId="21" fillId="4" borderId="0" xfId="0" applyFont="1" applyFill="1" applyAlignment="1">
      <alignment horizontal="center"/>
    </xf>
    <xf numFmtId="0" fontId="21" fillId="0" borderId="0" xfId="0" applyFont="1"/>
    <xf numFmtId="0" fontId="21" fillId="0" borderId="0" xfId="0" applyFont="1" applyAlignment="1">
      <alignment horizontal="center" wrapText="1"/>
    </xf>
    <xf numFmtId="0" fontId="15" fillId="0" borderId="0" xfId="0" applyFont="1"/>
    <xf numFmtId="3" fontId="21" fillId="0" borderId="2" xfId="0" applyNumberFormat="1" applyFont="1" applyBorder="1" applyAlignment="1">
      <alignment horizontal="center"/>
    </xf>
    <xf numFmtId="0" fontId="1" fillId="0" borderId="0" xfId="13" applyFont="1" applyFill="1" applyAlignment="1">
      <alignment horizontal="center"/>
    </xf>
    <xf numFmtId="164" fontId="10" fillId="0" borderId="0" xfId="12" applyNumberFormat="1" applyFont="1" applyAlignment="1">
      <alignment horizontal="center"/>
    </xf>
    <xf numFmtId="164" fontId="10" fillId="0" borderId="2" xfId="12" applyNumberFormat="1" applyFont="1" applyBorder="1" applyAlignment="1">
      <alignment horizontal="center"/>
    </xf>
    <xf numFmtId="164" fontId="10" fillId="0" borderId="0" xfId="0" applyNumberFormat="1" applyFont="1"/>
    <xf numFmtId="41" fontId="1" fillId="0" borderId="0" xfId="2" applyNumberFormat="1" applyFont="1" applyFill="1" applyAlignment="1">
      <alignment horizontal="right"/>
    </xf>
    <xf numFmtId="0" fontId="9" fillId="0" borderId="0" xfId="0" applyFont="1" applyBorder="1" applyAlignment="1">
      <alignment horizontal="center"/>
    </xf>
    <xf numFmtId="0" fontId="9" fillId="0" borderId="9" xfId="0" applyFont="1" applyBorder="1" applyAlignment="1">
      <alignment horizontal="center"/>
    </xf>
    <xf numFmtId="41" fontId="10" fillId="2" borderId="2" xfId="2" applyNumberFormat="1" applyFont="1" applyFill="1" applyBorder="1" applyAlignment="1">
      <alignment horizontal="right"/>
    </xf>
    <xf numFmtId="41" fontId="10" fillId="2" borderId="0" xfId="2" applyNumberFormat="1" applyFont="1" applyFill="1" applyAlignment="1">
      <alignment horizontal="right"/>
    </xf>
    <xf numFmtId="0" fontId="10" fillId="2" borderId="0" xfId="0" applyFont="1" applyFill="1"/>
    <xf numFmtId="0" fontId="6" fillId="5" borderId="1" xfId="0" applyFont="1" applyFill="1" applyBorder="1" applyAlignment="1">
      <alignment horizontal="left"/>
    </xf>
    <xf numFmtId="0" fontId="6" fillId="0" borderId="0" xfId="0" applyFont="1" applyFill="1" applyAlignment="1">
      <alignment horizontal="center"/>
    </xf>
    <xf numFmtId="0" fontId="6" fillId="0" borderId="0" xfId="0" applyFont="1" applyFill="1" applyAlignment="1">
      <alignment horizontal="center" wrapText="1"/>
    </xf>
    <xf numFmtId="0" fontId="10" fillId="0" borderId="0" xfId="0" applyFont="1" applyFill="1"/>
    <xf numFmtId="41" fontId="10" fillId="0" borderId="0" xfId="2" applyNumberFormat="1" applyFont="1" applyFill="1" applyBorder="1" applyAlignment="1">
      <alignment horizontal="right"/>
    </xf>
    <xf numFmtId="3" fontId="10" fillId="2" borderId="2" xfId="0" applyNumberFormat="1" applyFont="1" applyFill="1" applyBorder="1" applyAlignment="1">
      <alignment horizontal="center"/>
    </xf>
    <xf numFmtId="0" fontId="10" fillId="2" borderId="0" xfId="0" applyFont="1" applyFill="1" applyAlignment="1">
      <alignment horizontal="center"/>
    </xf>
    <xf numFmtId="3" fontId="10" fillId="2" borderId="0" xfId="0" applyNumberFormat="1" applyFont="1" applyFill="1" applyAlignment="1">
      <alignment horizontal="center"/>
    </xf>
    <xf numFmtId="3" fontId="15" fillId="0" borderId="0" xfId="0" applyNumberFormat="1" applyFont="1" applyFill="1" applyAlignment="1">
      <alignment horizontal="center"/>
    </xf>
    <xf numFmtId="165" fontId="10" fillId="2" borderId="0" xfId="36" applyNumberFormat="1" applyFont="1" applyFill="1"/>
    <xf numFmtId="164" fontId="10" fillId="0" borderId="0" xfId="12" applyNumberFormat="1" applyFont="1" applyFill="1" applyAlignment="1">
      <alignment horizontal="center"/>
    </xf>
    <xf numFmtId="164" fontId="10" fillId="0" borderId="0" xfId="0" applyNumberFormat="1" applyFont="1" applyFill="1"/>
    <xf numFmtId="164" fontId="10" fillId="0" borderId="2" xfId="12" applyNumberFormat="1" applyFont="1" applyFill="1" applyBorder="1" applyAlignment="1">
      <alignment horizontal="center"/>
    </xf>
    <xf numFmtId="0" fontId="6" fillId="0" borderId="1" xfId="0" applyFont="1" applyBorder="1" applyAlignment="1">
      <alignment horizontal="center" wrapText="1"/>
    </xf>
    <xf numFmtId="0" fontId="18" fillId="0" borderId="0" xfId="0" applyFont="1"/>
    <xf numFmtId="0" fontId="18" fillId="0" borderId="8" xfId="0" applyFont="1" applyBorder="1"/>
    <xf numFmtId="0" fontId="31" fillId="0" borderId="8" xfId="0" quotePrefix="1" applyFont="1" applyBorder="1" applyAlignment="1">
      <alignment horizontal="left"/>
    </xf>
    <xf numFmtId="166" fontId="9" fillId="0" borderId="0" xfId="0" applyNumberFormat="1" applyFont="1" applyBorder="1" applyAlignment="1">
      <alignment horizontal="center" vertical="center"/>
    </xf>
    <xf numFmtId="0" fontId="9" fillId="0" borderId="14" xfId="0" applyFont="1" applyBorder="1" applyAlignment="1">
      <alignment horizontal="center"/>
    </xf>
    <xf numFmtId="0" fontId="18" fillId="0" borderId="8" xfId="0" applyFont="1" applyBorder="1" applyAlignment="1">
      <alignment horizontal="left" wrapText="1" indent="1"/>
    </xf>
    <xf numFmtId="3" fontId="18" fillId="0" borderId="0" xfId="0" applyNumberFormat="1" applyFont="1" applyBorder="1" applyAlignment="1">
      <alignment horizontal="center" vertical="center"/>
    </xf>
    <xf numFmtId="0" fontId="18" fillId="0" borderId="14" xfId="0" applyFont="1" applyBorder="1"/>
    <xf numFmtId="0" fontId="18" fillId="0" borderId="9" xfId="0" applyFont="1" applyBorder="1"/>
    <xf numFmtId="0" fontId="18" fillId="0" borderId="8" xfId="0" applyFont="1" applyBorder="1" applyAlignment="1">
      <alignment horizontal="left" indent="1"/>
    </xf>
    <xf numFmtId="164" fontId="28" fillId="0" borderId="14" xfId="12" applyNumberFormat="1" applyFont="1" applyBorder="1" applyAlignment="1">
      <alignment horizontal="center" vertical="center"/>
    </xf>
    <xf numFmtId="164" fontId="28" fillId="0" borderId="9" xfId="12" applyNumberFormat="1" applyFont="1" applyBorder="1" applyAlignment="1">
      <alignment horizontal="center" vertical="center"/>
    </xf>
    <xf numFmtId="0" fontId="18" fillId="0" borderId="8" xfId="0" applyFont="1" applyBorder="1" applyAlignment="1">
      <alignment horizontal="left"/>
    </xf>
    <xf numFmtId="0" fontId="18" fillId="0" borderId="0" xfId="0" applyFont="1" applyBorder="1" applyAlignment="1">
      <alignment horizontal="center" vertical="center"/>
    </xf>
    <xf numFmtId="164" fontId="18" fillId="0" borderId="14" xfId="0" applyNumberFormat="1" applyFont="1" applyBorder="1" applyAlignment="1">
      <alignment horizontal="center" vertical="center"/>
    </xf>
    <xf numFmtId="0" fontId="18" fillId="0" borderId="0" xfId="0" applyFont="1" applyBorder="1" applyAlignment="1">
      <alignment horizontal="center"/>
    </xf>
    <xf numFmtId="164" fontId="18" fillId="0" borderId="9" xfId="0" applyNumberFormat="1" applyFont="1" applyBorder="1" applyAlignment="1">
      <alignment horizontal="center" vertical="center"/>
    </xf>
    <xf numFmtId="0" fontId="28" fillId="0" borderId="8" xfId="0" applyFont="1" applyBorder="1"/>
    <xf numFmtId="166" fontId="18" fillId="0" borderId="14" xfId="0" applyNumberFormat="1" applyFont="1" applyFill="1" applyBorder="1" applyAlignment="1">
      <alignment horizontal="center" vertical="center"/>
    </xf>
    <xf numFmtId="9" fontId="18" fillId="0" borderId="0" xfId="0" applyNumberFormat="1" applyFont="1"/>
    <xf numFmtId="9" fontId="18" fillId="0" borderId="0" xfId="12" applyFont="1"/>
    <xf numFmtId="0" fontId="18" fillId="0" borderId="10" xfId="0" applyFont="1" applyBorder="1" applyAlignment="1">
      <alignment horizontal="right"/>
    </xf>
    <xf numFmtId="0" fontId="18" fillId="0" borderId="11" xfId="0" applyFont="1" applyBorder="1"/>
    <xf numFmtId="0" fontId="18" fillId="0" borderId="12" xfId="0" applyFont="1" applyBorder="1"/>
    <xf numFmtId="0" fontId="18" fillId="0" borderId="0" xfId="0" applyFont="1" applyBorder="1" applyAlignment="1">
      <alignment horizontal="right"/>
    </xf>
    <xf numFmtId="0" fontId="18" fillId="0" borderId="0" xfId="0" applyFont="1" applyBorder="1"/>
    <xf numFmtId="0" fontId="9" fillId="0" borderId="13" xfId="0" applyFont="1" applyBorder="1" applyAlignment="1">
      <alignment horizontal="center"/>
    </xf>
    <xf numFmtId="0" fontId="18" fillId="0" borderId="13" xfId="0" applyFont="1" applyBorder="1"/>
    <xf numFmtId="164" fontId="18" fillId="0" borderId="14" xfId="12" applyNumberFormat="1" applyFont="1" applyBorder="1" applyAlignment="1">
      <alignment horizontal="center" vertical="center"/>
    </xf>
    <xf numFmtId="164" fontId="18" fillId="0" borderId="9" xfId="12" applyNumberFormat="1" applyFont="1" applyBorder="1" applyAlignment="1">
      <alignment horizontal="center" vertical="center"/>
    </xf>
    <xf numFmtId="0" fontId="18" fillId="0" borderId="8" xfId="0" applyFont="1" applyBorder="1" applyAlignment="1">
      <alignment horizontal="center"/>
    </xf>
    <xf numFmtId="0" fontId="28" fillId="0" borderId="8" xfId="0" quotePrefix="1" applyFont="1" applyBorder="1" applyAlignment="1">
      <alignment horizontal="left"/>
    </xf>
    <xf numFmtId="9" fontId="18" fillId="0" borderId="14" xfId="12" applyNumberFormat="1" applyFont="1" applyBorder="1"/>
    <xf numFmtId="3" fontId="18" fillId="0" borderId="13" xfId="0" applyNumberFormat="1" applyFont="1" applyBorder="1" applyAlignment="1">
      <alignment horizontal="center" vertical="center"/>
    </xf>
    <xf numFmtId="9" fontId="18" fillId="0" borderId="9" xfId="12" applyNumberFormat="1" applyFont="1" applyBorder="1"/>
    <xf numFmtId="0" fontId="18" fillId="0" borderId="13" xfId="0" applyFont="1" applyFill="1" applyBorder="1" applyAlignment="1">
      <alignment horizontal="center" vertical="center"/>
    </xf>
    <xf numFmtId="0" fontId="18" fillId="0" borderId="14" xfId="0" applyFont="1" applyBorder="1" applyAlignment="1">
      <alignment horizontal="right" vertical="center"/>
    </xf>
    <xf numFmtId="9" fontId="18" fillId="0" borderId="14" xfId="12" applyFont="1" applyFill="1" applyBorder="1" applyAlignment="1">
      <alignment horizontal="center" vertical="center"/>
    </xf>
    <xf numFmtId="0" fontId="18" fillId="0" borderId="8" xfId="0" applyFont="1" applyBorder="1" applyAlignment="1">
      <alignment horizontal="left" wrapText="1" indent="2"/>
    </xf>
    <xf numFmtId="164" fontId="18" fillId="0" borderId="13" xfId="12" applyNumberFormat="1" applyFont="1" applyBorder="1" applyAlignment="1">
      <alignment horizontal="center" vertical="center"/>
    </xf>
    <xf numFmtId="164" fontId="18" fillId="0" borderId="0" xfId="12" applyNumberFormat="1" applyFont="1" applyBorder="1" applyAlignment="1">
      <alignment horizontal="center" vertical="center"/>
    </xf>
    <xf numFmtId="0" fontId="28" fillId="0" borderId="8" xfId="0" quotePrefix="1" applyFont="1" applyFill="1" applyBorder="1" applyAlignment="1">
      <alignment horizontal="left"/>
    </xf>
    <xf numFmtId="0" fontId="18" fillId="0" borderId="14" xfId="0" applyFont="1" applyFill="1" applyBorder="1" applyAlignment="1">
      <alignment horizontal="left"/>
    </xf>
    <xf numFmtId="0" fontId="18" fillId="0" borderId="13" xfId="0" applyFont="1" applyFill="1" applyBorder="1" applyAlignment="1">
      <alignment horizontal="left"/>
    </xf>
    <xf numFmtId="0" fontId="18" fillId="0" borderId="0" xfId="0" applyFont="1" applyFill="1" applyBorder="1" applyAlignment="1">
      <alignment horizontal="left"/>
    </xf>
    <xf numFmtId="5" fontId="18" fillId="0" borderId="14" xfId="11" applyNumberFormat="1" applyFont="1" applyBorder="1" applyAlignment="1">
      <alignment horizontal="center" vertical="center"/>
    </xf>
    <xf numFmtId="0" fontId="18" fillId="0" borderId="11" xfId="0" applyFont="1" applyBorder="1" applyAlignment="1">
      <alignment horizontal="center"/>
    </xf>
    <xf numFmtId="0" fontId="9" fillId="0" borderId="8" xfId="0" applyFont="1" applyBorder="1" applyAlignment="1">
      <alignment horizontal="center"/>
    </xf>
    <xf numFmtId="0" fontId="18" fillId="0" borderId="8" xfId="0" quotePrefix="1" applyFont="1" applyBorder="1" applyAlignment="1">
      <alignment horizontal="left" indent="1"/>
    </xf>
    <xf numFmtId="0" fontId="27" fillId="12" borderId="8" xfId="0" applyFont="1" applyFill="1" applyBorder="1" applyAlignment="1">
      <alignment horizontal="left"/>
    </xf>
    <xf numFmtId="166" fontId="9" fillId="0" borderId="13" xfId="0" applyNumberFormat="1" applyFont="1" applyBorder="1" applyAlignment="1">
      <alignment horizontal="center" vertical="center"/>
    </xf>
    <xf numFmtId="0" fontId="18" fillId="0" borderId="13" xfId="0" applyFont="1" applyBorder="1" applyAlignment="1">
      <alignment horizontal="center" vertical="center"/>
    </xf>
    <xf numFmtId="0" fontId="0" fillId="0" borderId="0" xfId="0" applyAlignment="1">
      <alignment horizontal="center"/>
    </xf>
    <xf numFmtId="165" fontId="0" fillId="0" borderId="0" xfId="36" applyNumberFormat="1" applyFont="1" applyAlignment="1">
      <alignment horizontal="center"/>
    </xf>
    <xf numFmtId="165" fontId="10" fillId="2" borderId="0" xfId="36" applyNumberFormat="1" applyFont="1" applyFill="1" applyAlignment="1">
      <alignment horizontal="center"/>
    </xf>
    <xf numFmtId="0" fontId="18" fillId="0" borderId="8" xfId="0" quotePrefix="1" applyFont="1" applyFill="1" applyBorder="1" applyAlignment="1">
      <alignment horizontal="left" indent="1"/>
    </xf>
    <xf numFmtId="9" fontId="6" fillId="9" borderId="0" xfId="0" applyNumberFormat="1" applyFont="1" applyFill="1"/>
    <xf numFmtId="9" fontId="15" fillId="9" borderId="0" xfId="0" applyNumberFormat="1" applyFont="1" applyFill="1" applyAlignment="1">
      <alignment horizontal="center"/>
    </xf>
    <xf numFmtId="9" fontId="6" fillId="0" borderId="1" xfId="0" applyNumberFormat="1" applyFont="1" applyBorder="1" applyAlignment="1">
      <alignment horizontal="center" wrapText="1"/>
    </xf>
    <xf numFmtId="9" fontId="0" fillId="0" borderId="0" xfId="12" applyNumberFormat="1" applyFont="1" applyAlignment="1">
      <alignment horizontal="center"/>
    </xf>
    <xf numFmtId="9" fontId="0" fillId="0" borderId="0" xfId="0" applyNumberFormat="1" applyFont="1" applyAlignment="1">
      <alignment horizontal="center"/>
    </xf>
    <xf numFmtId="9" fontId="6" fillId="0" borderId="2" xfId="12" applyNumberFormat="1" applyFont="1" applyBorder="1" applyAlignment="1">
      <alignment horizontal="center"/>
    </xf>
    <xf numFmtId="9" fontId="0" fillId="0" borderId="0" xfId="0" applyNumberFormat="1"/>
    <xf numFmtId="9" fontId="10" fillId="2" borderId="2" xfId="12" applyNumberFormat="1" applyFont="1" applyFill="1" applyBorder="1" applyAlignment="1">
      <alignment horizontal="center"/>
    </xf>
    <xf numFmtId="0" fontId="41" fillId="0" borderId="0" xfId="0" applyFont="1"/>
    <xf numFmtId="0" fontId="42" fillId="0" borderId="0" xfId="0" applyFont="1"/>
    <xf numFmtId="0" fontId="19" fillId="2" borderId="0" xfId="0" quotePrefix="1" applyFont="1" applyFill="1"/>
    <xf numFmtId="0" fontId="44" fillId="0" borderId="0" xfId="42" applyFont="1" applyProtection="1">
      <alignment vertical="center" wrapText="1"/>
      <protection locked="0"/>
    </xf>
    <xf numFmtId="0" fontId="44" fillId="0" borderId="0" xfId="42" applyFont="1">
      <alignment vertical="center" wrapText="1"/>
    </xf>
    <xf numFmtId="0" fontId="48" fillId="0" borderId="27" xfId="45" applyFont="1" applyBorder="1" applyProtection="1">
      <alignment vertical="center"/>
      <protection locked="0"/>
    </xf>
    <xf numFmtId="0" fontId="48" fillId="0" borderId="0" xfId="45" applyFont="1" applyBorder="1" applyProtection="1">
      <alignment vertical="center"/>
      <protection locked="0"/>
    </xf>
    <xf numFmtId="0" fontId="44" fillId="0" borderId="0" xfId="42" applyFont="1" applyBorder="1">
      <alignment vertical="center" wrapText="1"/>
    </xf>
    <xf numFmtId="5" fontId="45" fillId="0" borderId="35" xfId="48" applyFont="1" applyBorder="1" applyProtection="1">
      <alignment horizontal="center" vertical="center"/>
      <protection locked="0"/>
    </xf>
    <xf numFmtId="0" fontId="44" fillId="0" borderId="0" xfId="42" applyFont="1" applyBorder="1" applyProtection="1">
      <alignment vertical="center" wrapText="1"/>
      <protection locked="0"/>
    </xf>
    <xf numFmtId="9" fontId="49" fillId="0" borderId="38" xfId="12" applyNumberFormat="1" applyFont="1" applyBorder="1" applyAlignment="1" applyProtection="1">
      <alignment horizontal="left" vertical="center" indent="2"/>
    </xf>
    <xf numFmtId="9" fontId="50" fillId="0" borderId="0" xfId="12" applyNumberFormat="1" applyFont="1" applyAlignment="1" applyProtection="1">
      <alignment horizontal="left" vertical="center" indent="1"/>
      <protection locked="0"/>
    </xf>
    <xf numFmtId="9" fontId="49" fillId="0" borderId="38" xfId="49" applyFont="1" applyBorder="1" applyAlignment="1" applyProtection="1">
      <alignment horizontal="left" vertical="center" indent="2"/>
    </xf>
    <xf numFmtId="9" fontId="51" fillId="0" borderId="0" xfId="42" applyNumberFormat="1" applyFont="1" applyAlignment="1" applyProtection="1">
      <alignment horizontal="left" vertical="center" indent="1"/>
      <protection locked="0"/>
    </xf>
    <xf numFmtId="9" fontId="51" fillId="0" borderId="0" xfId="42" applyNumberFormat="1" applyFont="1" applyBorder="1" applyAlignment="1" applyProtection="1">
      <alignment horizontal="left" vertical="center" indent="1"/>
      <protection locked="0"/>
    </xf>
    <xf numFmtId="0" fontId="44" fillId="0" borderId="0" xfId="42" applyFont="1" applyAlignment="1">
      <alignment horizontal="left" vertical="center" indent="1"/>
    </xf>
    <xf numFmtId="0" fontId="44" fillId="0" borderId="0" xfId="42" applyFont="1" applyAlignment="1">
      <alignment horizontal="center" vertical="center"/>
    </xf>
    <xf numFmtId="0" fontId="44" fillId="0" borderId="42" xfId="42" applyFont="1" applyBorder="1" applyAlignment="1" applyProtection="1">
      <protection locked="0"/>
    </xf>
    <xf numFmtId="0" fontId="44" fillId="0" borderId="0" xfId="42" applyFont="1" applyAlignment="1" applyProtection="1">
      <alignment horizontal="left" indent="1"/>
      <protection locked="0"/>
    </xf>
    <xf numFmtId="0" fontId="44" fillId="0" borderId="0" xfId="42" applyFont="1" applyAlignment="1">
      <alignment horizontal="left" indent="1"/>
    </xf>
    <xf numFmtId="0" fontId="44" fillId="0" borderId="44" xfId="42" applyFont="1" applyBorder="1" applyProtection="1">
      <alignment vertical="center" wrapText="1"/>
      <protection locked="0"/>
    </xf>
    <xf numFmtId="0" fontId="43" fillId="0" borderId="0" xfId="41" applyFont="1" applyAlignment="1" applyProtection="1">
      <alignment horizontal="left"/>
      <protection locked="0"/>
    </xf>
    <xf numFmtId="0" fontId="52" fillId="0" borderId="0" xfId="41" applyFont="1" applyAlignment="1" applyProtection="1">
      <alignment horizontal="left"/>
      <protection locked="0"/>
    </xf>
    <xf numFmtId="0" fontId="55" fillId="0" borderId="0" xfId="44" applyFont="1" applyAlignment="1" applyProtection="1">
      <alignment horizontal="left" vertical="center"/>
      <protection locked="0"/>
    </xf>
    <xf numFmtId="0" fontId="54" fillId="0" borderId="0" xfId="43" applyFont="1" applyAlignment="1">
      <alignment vertical="center"/>
    </xf>
    <xf numFmtId="0" fontId="46" fillId="13" borderId="17" xfId="42" applyFont="1" applyFill="1" applyBorder="1" applyAlignment="1" applyProtection="1">
      <alignment horizontal="left" vertical="center" indent="1"/>
      <protection locked="0"/>
    </xf>
    <xf numFmtId="0" fontId="44" fillId="0" borderId="0" xfId="42" applyFont="1" applyBorder="1" applyAlignment="1" applyProtection="1">
      <alignment horizontal="left" vertical="center" indent="1"/>
      <protection locked="0"/>
    </xf>
    <xf numFmtId="169" fontId="44" fillId="0" borderId="0" xfId="42" applyNumberFormat="1" applyFont="1" applyBorder="1" applyAlignment="1" applyProtection="1">
      <alignment horizontal="right" vertical="center"/>
      <protection locked="0"/>
    </xf>
    <xf numFmtId="0" fontId="44" fillId="0" borderId="19" xfId="42" applyFont="1" applyBorder="1" applyAlignment="1">
      <alignment horizontal="center" vertical="center"/>
    </xf>
    <xf numFmtId="0" fontId="44" fillId="0" borderId="20" xfId="42" applyFont="1" applyBorder="1" applyAlignment="1" applyProtection="1">
      <alignment horizontal="left" vertical="center"/>
      <protection locked="0"/>
    </xf>
    <xf numFmtId="0" fontId="57" fillId="0" borderId="0" xfId="42" applyFont="1" applyAlignment="1">
      <alignment vertical="center"/>
    </xf>
    <xf numFmtId="0" fontId="44" fillId="0" borderId="0" xfId="42" applyFont="1" applyAlignment="1">
      <alignment vertical="center"/>
    </xf>
    <xf numFmtId="0" fontId="44" fillId="0" borderId="21" xfId="42" applyFont="1" applyBorder="1" applyAlignment="1">
      <alignment horizontal="center" vertical="center"/>
    </xf>
    <xf numFmtId="0" fontId="44" fillId="0" borderId="22" xfId="42" applyFont="1" applyBorder="1" applyAlignment="1" applyProtection="1">
      <alignment horizontal="left" vertical="center"/>
      <protection locked="0"/>
    </xf>
    <xf numFmtId="0" fontId="44" fillId="0" borderId="22" xfId="42" applyFont="1" applyBorder="1" applyAlignment="1" applyProtection="1">
      <alignment vertical="center"/>
      <protection locked="0"/>
    </xf>
    <xf numFmtId="0" fontId="44" fillId="0" borderId="23" xfId="42" applyFont="1" applyBorder="1" applyAlignment="1">
      <alignment horizontal="center" vertical="center"/>
    </xf>
    <xf numFmtId="0" fontId="44" fillId="0" borderId="24" xfId="42" applyFont="1" applyBorder="1" applyAlignment="1" applyProtection="1">
      <alignment vertical="center"/>
      <protection locked="0"/>
    </xf>
    <xf numFmtId="0" fontId="58" fillId="0" borderId="0" xfId="42" applyFont="1" applyAlignment="1">
      <alignment vertical="center"/>
    </xf>
    <xf numFmtId="0" fontId="44" fillId="0" borderId="0" xfId="42" applyFont="1" applyAlignment="1">
      <alignment horizontal="right"/>
    </xf>
    <xf numFmtId="0" fontId="44" fillId="0" borderId="0" xfId="42" applyFont="1" applyAlignment="1">
      <alignment horizontal="center"/>
    </xf>
    <xf numFmtId="0" fontId="48" fillId="0" borderId="25" xfId="45" applyFont="1">
      <alignment vertical="center"/>
    </xf>
    <xf numFmtId="0" fontId="48" fillId="0" borderId="25" xfId="45" applyFont="1" applyAlignment="1">
      <alignment horizontal="center"/>
    </xf>
    <xf numFmtId="9" fontId="51" fillId="0" borderId="0" xfId="12" applyFont="1"/>
    <xf numFmtId="0" fontId="0" fillId="0" borderId="0" xfId="0" quotePrefix="1" applyAlignment="1">
      <alignment horizontal="center" vertical="center"/>
    </xf>
    <xf numFmtId="164" fontId="0" fillId="0" borderId="0" xfId="12" quotePrefix="1" applyNumberFormat="1" applyFont="1" applyAlignment="1">
      <alignment horizontal="center" vertical="center"/>
    </xf>
    <xf numFmtId="0" fontId="46" fillId="13" borderId="17" xfId="42" applyFont="1" applyFill="1" applyBorder="1" applyAlignment="1" applyProtection="1">
      <alignment horizontal="center" vertical="center"/>
      <protection locked="0"/>
    </xf>
    <xf numFmtId="169" fontId="44" fillId="0" borderId="0" xfId="42" applyNumberFormat="1" applyFont="1" applyBorder="1" applyAlignment="1" applyProtection="1">
      <alignment horizontal="center" vertical="center"/>
      <protection locked="0"/>
    </xf>
    <xf numFmtId="170" fontId="0" fillId="0" borderId="0" xfId="0" quotePrefix="1" applyNumberFormat="1" applyAlignment="1">
      <alignment horizontal="center" vertical="center"/>
    </xf>
    <xf numFmtId="0" fontId="19" fillId="0" borderId="0" xfId="0" quotePrefix="1" applyFont="1" applyFill="1" applyAlignment="1">
      <alignment horizontal="left" vertical="center"/>
    </xf>
    <xf numFmtId="168" fontId="45" fillId="0" borderId="34" xfId="12" applyNumberFormat="1" applyFont="1" applyBorder="1" applyAlignment="1" applyProtection="1">
      <alignment horizontal="center" vertical="center"/>
    </xf>
    <xf numFmtId="0" fontId="6" fillId="8" borderId="0" xfId="0" applyFont="1" applyFill="1" applyAlignment="1">
      <alignment wrapText="1"/>
    </xf>
    <xf numFmtId="164" fontId="0" fillId="0" borderId="0" xfId="12" applyNumberFormat="1" applyFont="1"/>
    <xf numFmtId="43" fontId="0" fillId="0" borderId="0" xfId="50" applyFont="1"/>
    <xf numFmtId="0" fontId="62" fillId="15" borderId="52" xfId="0" applyFont="1" applyFill="1" applyBorder="1"/>
    <xf numFmtId="0" fontId="62" fillId="15" borderId="52" xfId="0" applyFont="1" applyFill="1" applyBorder="1" applyAlignment="1">
      <alignment wrapText="1"/>
    </xf>
    <xf numFmtId="0" fontId="0" fillId="0" borderId="0" xfId="0" applyAlignment="1">
      <alignment horizontal="left"/>
    </xf>
    <xf numFmtId="0" fontId="0" fillId="0" borderId="0" xfId="0" applyNumberFormat="1"/>
    <xf numFmtId="0" fontId="29" fillId="0" borderId="0" xfId="0" applyFont="1" applyFill="1"/>
    <xf numFmtId="9" fontId="0" fillId="0" borderId="0" xfId="12" applyFont="1" applyAlignment="1">
      <alignment horizontal="center"/>
    </xf>
    <xf numFmtId="9" fontId="6" fillId="0" borderId="2" xfId="12" applyFont="1" applyBorder="1" applyAlignment="1">
      <alignment horizontal="center"/>
    </xf>
    <xf numFmtId="3" fontId="18" fillId="0" borderId="0" xfId="0" applyNumberFormat="1" applyFont="1" applyFill="1" applyBorder="1" applyAlignment="1">
      <alignment horizontal="center" vertical="center"/>
    </xf>
    <xf numFmtId="164" fontId="18" fillId="0" borderId="14" xfId="12" applyNumberFormat="1" applyFont="1" applyFill="1" applyBorder="1" applyAlignment="1">
      <alignment horizontal="center" vertical="center"/>
    </xf>
    <xf numFmtId="164" fontId="18" fillId="0" borderId="9" xfId="12" applyNumberFormat="1" applyFont="1" applyFill="1" applyBorder="1" applyAlignment="1">
      <alignment horizontal="center" vertical="center"/>
    </xf>
    <xf numFmtId="9" fontId="18" fillId="0" borderId="14" xfId="12" applyNumberFormat="1" applyFont="1" applyFill="1" applyBorder="1" applyAlignment="1">
      <alignment horizontal="center" vertical="center"/>
    </xf>
    <xf numFmtId="0" fontId="18" fillId="0" borderId="13" xfId="0" applyFont="1" applyFill="1" applyBorder="1"/>
    <xf numFmtId="0" fontId="18" fillId="0" borderId="14" xfId="0" applyFont="1" applyFill="1" applyBorder="1"/>
    <xf numFmtId="0" fontId="18" fillId="0" borderId="0" xfId="0" applyFont="1" applyFill="1" applyBorder="1"/>
    <xf numFmtId="0" fontId="18" fillId="0" borderId="9" xfId="0" applyFont="1" applyFill="1" applyBorder="1"/>
    <xf numFmtId="0" fontId="44" fillId="0" borderId="0" xfId="42" applyFont="1" applyBorder="1" applyAlignment="1" applyProtection="1">
      <alignment horizontal="left" indent="1"/>
      <protection locked="0"/>
    </xf>
    <xf numFmtId="0" fontId="60" fillId="2" borderId="0" xfId="42" applyFont="1" applyFill="1" applyAlignment="1">
      <alignment vertical="center"/>
    </xf>
    <xf numFmtId="0" fontId="61" fillId="0" borderId="0" xfId="42" applyFont="1" applyAlignment="1">
      <alignment horizontal="left" vertical="center" wrapText="1"/>
    </xf>
    <xf numFmtId="0" fontId="49" fillId="0" borderId="0" xfId="42" applyFont="1">
      <alignment vertical="center" wrapText="1"/>
    </xf>
    <xf numFmtId="167" fontId="49" fillId="0" borderId="49" xfId="42" applyNumberFormat="1" applyFont="1" applyFill="1" applyBorder="1" applyAlignment="1">
      <alignment horizontal="center" vertical="center"/>
    </xf>
    <xf numFmtId="168" fontId="49" fillId="0" borderId="17" xfId="12" applyNumberFormat="1" applyFont="1" applyFill="1" applyBorder="1" applyAlignment="1">
      <alignment horizontal="center" vertical="center"/>
    </xf>
    <xf numFmtId="164" fontId="49" fillId="0" borderId="49" xfId="42" applyNumberFormat="1" applyFont="1" applyFill="1" applyBorder="1" applyAlignment="1">
      <alignment horizontal="center" vertical="center"/>
    </xf>
    <xf numFmtId="164" fontId="49" fillId="0" borderId="17" xfId="12" applyNumberFormat="1" applyFont="1" applyFill="1" applyBorder="1" applyAlignment="1">
      <alignment horizontal="center" vertical="center"/>
    </xf>
    <xf numFmtId="168" fontId="49" fillId="0" borderId="50" xfId="12" applyNumberFormat="1" applyFont="1" applyFill="1" applyBorder="1" applyAlignment="1">
      <alignment horizontal="center" vertical="center"/>
    </xf>
    <xf numFmtId="164" fontId="49" fillId="0" borderId="51" xfId="12" applyNumberFormat="1" applyFont="1" applyFill="1" applyBorder="1" applyAlignment="1">
      <alignment horizontal="center" vertical="center"/>
    </xf>
    <xf numFmtId="0" fontId="61" fillId="0" borderId="0" xfId="42" applyFont="1" applyAlignment="1">
      <alignment horizontal="left" vertical="center"/>
    </xf>
    <xf numFmtId="169" fontId="49" fillId="0" borderId="49" xfId="42" applyNumberFormat="1" applyFont="1" applyFill="1" applyBorder="1" applyAlignment="1">
      <alignment horizontal="center" vertical="center"/>
    </xf>
    <xf numFmtId="37" fontId="49" fillId="0" borderId="49" xfId="42" applyNumberFormat="1" applyFont="1" applyFill="1" applyBorder="1" applyAlignment="1">
      <alignment horizontal="center" vertical="center"/>
    </xf>
    <xf numFmtId="37" fontId="49" fillId="0" borderId="17" xfId="12" applyNumberFormat="1" applyFont="1" applyFill="1" applyBorder="1" applyAlignment="1">
      <alignment horizontal="center" vertical="center"/>
    </xf>
    <xf numFmtId="37" fontId="49" fillId="0" borderId="50" xfId="12" applyNumberFormat="1" applyFont="1" applyFill="1" applyBorder="1" applyAlignment="1">
      <alignment horizontal="center" vertical="center"/>
    </xf>
    <xf numFmtId="1" fontId="49" fillId="0" borderId="49" xfId="42" applyNumberFormat="1" applyFont="1" applyFill="1" applyBorder="1" applyAlignment="1">
      <alignment horizontal="center" vertical="center"/>
    </xf>
    <xf numFmtId="3" fontId="49" fillId="0" borderId="49" xfId="42" applyNumberFormat="1" applyFont="1" applyFill="1" applyBorder="1" applyAlignment="1">
      <alignment horizontal="center" vertical="center"/>
    </xf>
    <xf numFmtId="37" fontId="49" fillId="0" borderId="51" xfId="12" applyNumberFormat="1" applyFont="1" applyFill="1" applyBorder="1" applyAlignment="1">
      <alignment horizontal="center" vertical="center"/>
    </xf>
    <xf numFmtId="37" fontId="49" fillId="0" borderId="0" xfId="12" applyNumberFormat="1" applyFont="1" applyFill="1" applyBorder="1" applyAlignment="1">
      <alignment horizontal="center" vertical="center"/>
    </xf>
    <xf numFmtId="168" fontId="49" fillId="0" borderId="0" xfId="12" applyNumberFormat="1" applyFont="1" applyFill="1" applyBorder="1" applyAlignment="1">
      <alignment horizontal="center" vertical="center"/>
    </xf>
    <xf numFmtId="0" fontId="66" fillId="14" borderId="17" xfId="42" applyFont="1" applyFill="1" applyBorder="1" applyAlignment="1">
      <alignment horizontal="center" vertical="center"/>
    </xf>
    <xf numFmtId="0" fontId="66" fillId="14" borderId="29" xfId="47" applyFont="1" applyFill="1" applyBorder="1" applyAlignment="1" applyProtection="1">
      <alignment horizontal="center" vertical="center" wrapText="1"/>
    </xf>
    <xf numFmtId="0" fontId="67" fillId="0" borderId="0" xfId="42" applyFont="1" applyAlignment="1" applyProtection="1">
      <protection locked="0"/>
    </xf>
    <xf numFmtId="0" fontId="67" fillId="0" borderId="0" xfId="42" applyFont="1" applyAlignment="1"/>
    <xf numFmtId="168" fontId="49" fillId="0" borderId="18" xfId="12" applyNumberFormat="1" applyFont="1" applyFill="1" applyBorder="1" applyAlignment="1">
      <alignment horizontal="center" vertical="center"/>
    </xf>
    <xf numFmtId="37" fontId="49" fillId="0" borderId="18" xfId="12" applyNumberFormat="1" applyFont="1" applyFill="1" applyBorder="1" applyAlignment="1">
      <alignment horizontal="center" vertical="center"/>
    </xf>
    <xf numFmtId="37" fontId="49" fillId="0" borderId="49" xfId="12" applyNumberFormat="1" applyFont="1" applyFill="1" applyBorder="1" applyAlignment="1">
      <alignment horizontal="center" vertical="center"/>
    </xf>
    <xf numFmtId="171" fontId="49" fillId="0" borderId="49" xfId="12" applyNumberFormat="1" applyFont="1" applyFill="1" applyBorder="1" applyAlignment="1">
      <alignment horizontal="center" vertical="center"/>
    </xf>
    <xf numFmtId="0" fontId="44" fillId="0" borderId="49" xfId="42" applyFont="1" applyBorder="1">
      <alignment vertical="center" wrapText="1"/>
    </xf>
    <xf numFmtId="0" fontId="44" fillId="0" borderId="18" xfId="42" applyFont="1" applyBorder="1">
      <alignment vertical="center" wrapText="1"/>
    </xf>
    <xf numFmtId="171" fontId="49" fillId="0" borderId="18" xfId="12" applyNumberFormat="1" applyFont="1" applyFill="1" applyBorder="1" applyAlignment="1">
      <alignment horizontal="center" vertical="center"/>
    </xf>
    <xf numFmtId="0" fontId="69" fillId="0" borderId="0" xfId="42" applyFont="1">
      <alignment vertical="center" wrapText="1"/>
    </xf>
    <xf numFmtId="0" fontId="70" fillId="0" borderId="0" xfId="42" applyFont="1">
      <alignment vertical="center" wrapText="1"/>
    </xf>
    <xf numFmtId="0" fontId="69" fillId="0" borderId="0" xfId="42" applyFont="1" applyAlignment="1">
      <alignment horizontal="left" vertical="center" indent="1"/>
    </xf>
    <xf numFmtId="9" fontId="10" fillId="0" borderId="0" xfId="12" applyNumberFormat="1" applyFont="1" applyFill="1" applyAlignment="1">
      <alignment horizontal="center"/>
    </xf>
    <xf numFmtId="0" fontId="6" fillId="16" borderId="0" xfId="0" applyFont="1" applyFill="1" applyAlignment="1">
      <alignment horizontal="left"/>
    </xf>
    <xf numFmtId="0" fontId="6" fillId="16" borderId="1" xfId="0" applyFont="1" applyFill="1" applyBorder="1" applyAlignment="1">
      <alignment horizontal="left"/>
    </xf>
    <xf numFmtId="165" fontId="0" fillId="0" borderId="0" xfId="50" applyNumberFormat="1" applyFont="1"/>
    <xf numFmtId="165" fontId="6" fillId="0" borderId="0" xfId="50" applyNumberFormat="1" applyFont="1"/>
    <xf numFmtId="165" fontId="6" fillId="0" borderId="2" xfId="50" applyNumberFormat="1" applyFont="1" applyBorder="1"/>
    <xf numFmtId="165" fontId="0" fillId="0" borderId="0" xfId="50" applyNumberFormat="1" applyFont="1" applyAlignment="1">
      <alignment horizontal="left"/>
    </xf>
    <xf numFmtId="165" fontId="10" fillId="2" borderId="0" xfId="50" applyNumberFormat="1" applyFont="1" applyFill="1"/>
    <xf numFmtId="0" fontId="10" fillId="2" borderId="0" xfId="13" applyFont="1" applyFill="1" applyAlignment="1">
      <alignment horizontal="center"/>
    </xf>
    <xf numFmtId="0" fontId="60" fillId="0" borderId="0" xfId="42" applyFont="1" applyFill="1" applyAlignment="1">
      <alignment horizontal="left" vertical="center" indent="1"/>
    </xf>
    <xf numFmtId="0" fontId="71" fillId="0" borderId="1" xfId="22" applyFont="1" applyFill="1" applyBorder="1" applyAlignment="1">
      <alignment horizontal="center" wrapText="1"/>
    </xf>
    <xf numFmtId="0" fontId="71" fillId="0" borderId="1" xfId="22" applyFont="1" applyFill="1" applyBorder="1" applyAlignment="1" applyProtection="1">
      <alignment horizontal="center" vertical="top" wrapText="1" readingOrder="1"/>
      <protection locked="0"/>
    </xf>
    <xf numFmtId="0" fontId="3" fillId="0" borderId="0" xfId="22" quotePrefix="1" applyFont="1" applyFill="1" applyAlignment="1">
      <alignment horizontal="left" indent="1"/>
    </xf>
    <xf numFmtId="172" fontId="3" fillId="0" borderId="0" xfId="22" applyNumberFormat="1" applyFill="1"/>
    <xf numFmtId="0" fontId="3" fillId="0" borderId="0" xfId="22" applyFont="1" applyFill="1" applyAlignment="1">
      <alignment horizontal="left" indent="1"/>
    </xf>
    <xf numFmtId="3" fontId="3" fillId="0" borderId="0" xfId="22" applyNumberFormat="1" applyFill="1"/>
    <xf numFmtId="0" fontId="3" fillId="0" borderId="0" xfId="22" applyFill="1" applyAlignment="1">
      <alignment horizontal="left" indent="1"/>
    </xf>
    <xf numFmtId="3" fontId="3" fillId="0" borderId="0" xfId="51" applyNumberFormat="1" applyFont="1" applyFill="1"/>
    <xf numFmtId="0" fontId="6" fillId="8" borderId="0" xfId="0" applyFont="1" applyFill="1" applyAlignment="1"/>
    <xf numFmtId="0" fontId="18" fillId="0" borderId="13" xfId="0" applyFont="1" applyBorder="1" applyAlignment="1">
      <alignment horizontal="center"/>
    </xf>
    <xf numFmtId="3" fontId="18" fillId="0" borderId="13" xfId="0" applyNumberFormat="1" applyFont="1" applyFill="1" applyBorder="1" applyAlignment="1">
      <alignment horizontal="center" vertical="center"/>
    </xf>
    <xf numFmtId="167" fontId="18" fillId="0" borderId="13" xfId="11" applyNumberFormat="1" applyFont="1" applyBorder="1" applyAlignment="1">
      <alignment horizontal="center" vertical="center"/>
    </xf>
    <xf numFmtId="167" fontId="18" fillId="0" borderId="14" xfId="11" applyNumberFormat="1" applyFont="1" applyBorder="1" applyAlignment="1">
      <alignment horizontal="center" vertical="center"/>
    </xf>
    <xf numFmtId="167" fontId="18" fillId="0" borderId="0" xfId="11" applyNumberFormat="1" applyFont="1" applyBorder="1" applyAlignment="1">
      <alignment horizontal="center" vertical="center"/>
    </xf>
    <xf numFmtId="168" fontId="18" fillId="0" borderId="14" xfId="11" applyNumberFormat="1" applyFont="1" applyBorder="1" applyAlignment="1">
      <alignment horizontal="center" vertical="center"/>
    </xf>
    <xf numFmtId="168" fontId="18" fillId="0" borderId="9" xfId="11" applyNumberFormat="1" applyFont="1" applyBorder="1" applyAlignment="1">
      <alignment horizontal="center" vertical="center"/>
    </xf>
    <xf numFmtId="167" fontId="18" fillId="0" borderId="9" xfId="11" applyNumberFormat="1" applyFont="1" applyBorder="1" applyAlignment="1">
      <alignment horizontal="center" vertical="center"/>
    </xf>
    <xf numFmtId="166" fontId="18" fillId="0" borderId="13" xfId="0" applyNumberFormat="1" applyFont="1" applyFill="1" applyBorder="1" applyAlignment="1">
      <alignment horizontal="center" vertical="center"/>
    </xf>
    <xf numFmtId="0" fontId="6" fillId="0" borderId="1" xfId="0" applyFont="1" applyFill="1" applyBorder="1" applyAlignment="1">
      <alignment horizontal="left"/>
    </xf>
    <xf numFmtId="3" fontId="6" fillId="0" borderId="0" xfId="0" applyNumberFormat="1" applyFont="1" applyBorder="1" applyAlignment="1">
      <alignment horizontal="center"/>
    </xf>
    <xf numFmtId="164" fontId="6" fillId="0" borderId="0" xfId="12" applyNumberFormat="1" applyFont="1" applyBorder="1" applyAlignment="1">
      <alignment horizontal="center"/>
    </xf>
    <xf numFmtId="0" fontId="44" fillId="0" borderId="0" xfId="42" applyFont="1" applyFill="1">
      <alignment vertical="center" wrapText="1"/>
    </xf>
    <xf numFmtId="0" fontId="60" fillId="0" borderId="0" xfId="42" applyFont="1" applyFill="1">
      <alignment vertical="center" wrapText="1"/>
    </xf>
    <xf numFmtId="0" fontId="6" fillId="4" borderId="3" xfId="0" applyFont="1" applyFill="1" applyBorder="1" applyAlignment="1">
      <alignment horizontal="left" wrapText="1"/>
    </xf>
    <xf numFmtId="0" fontId="6" fillId="0" borderId="1" xfId="0" applyFont="1" applyFill="1" applyBorder="1" applyAlignment="1">
      <alignment horizontal="center"/>
    </xf>
    <xf numFmtId="0" fontId="6" fillId="4" borderId="1" xfId="0" applyFont="1" applyFill="1" applyBorder="1" applyAlignment="1">
      <alignment horizontal="left" wrapText="1"/>
    </xf>
    <xf numFmtId="41" fontId="21" fillId="0" borderId="0" xfId="2" applyNumberFormat="1" applyFont="1" applyFill="1" applyBorder="1" applyAlignment="1">
      <alignment horizontal="right"/>
    </xf>
    <xf numFmtId="0" fontId="60" fillId="0" borderId="0" xfId="42" applyFont="1" applyFill="1" applyAlignment="1">
      <alignment vertical="center"/>
    </xf>
    <xf numFmtId="9" fontId="6" fillId="0" borderId="0" xfId="12" applyNumberFormat="1" applyFont="1" applyBorder="1" applyAlignment="1">
      <alignment horizontal="center"/>
    </xf>
    <xf numFmtId="0" fontId="6" fillId="0" borderId="1" xfId="0" applyFont="1" applyFill="1" applyBorder="1" applyAlignment="1">
      <alignment horizontal="center" wrapText="1"/>
    </xf>
    <xf numFmtId="0" fontId="18" fillId="0" borderId="0" xfId="0" applyFont="1" applyBorder="1" applyAlignment="1">
      <alignment horizontal="center"/>
    </xf>
    <xf numFmtId="0" fontId="73" fillId="0" borderId="0" xfId="42" applyFont="1" applyAlignment="1">
      <alignment vertical="center"/>
    </xf>
    <xf numFmtId="172" fontId="0" fillId="0" borderId="0" xfId="50" applyNumberFormat="1" applyFont="1"/>
    <xf numFmtId="9" fontId="0" fillId="0" borderId="0" xfId="12" applyFont="1"/>
    <xf numFmtId="3" fontId="10" fillId="0" borderId="2" xfId="0" applyNumberFormat="1" applyFont="1" applyFill="1" applyBorder="1" applyAlignment="1">
      <alignment horizontal="center"/>
    </xf>
    <xf numFmtId="41" fontId="10" fillId="0" borderId="2" xfId="2" applyNumberFormat="1" applyFont="1" applyFill="1" applyBorder="1" applyAlignment="1">
      <alignment horizontal="right"/>
    </xf>
    <xf numFmtId="3" fontId="10" fillId="0" borderId="2" xfId="0" applyNumberFormat="1" applyFont="1" applyBorder="1" applyAlignment="1">
      <alignment horizontal="center"/>
    </xf>
    <xf numFmtId="0" fontId="71" fillId="0" borderId="0" xfId="2" applyFont="1" applyBorder="1" applyAlignment="1">
      <alignment horizontal="center" wrapText="1"/>
    </xf>
    <xf numFmtId="165" fontId="10" fillId="0" borderId="2" xfId="50" applyNumberFormat="1" applyFont="1" applyFill="1" applyBorder="1"/>
    <xf numFmtId="0" fontId="30" fillId="0" borderId="0" xfId="0" applyFont="1" applyAlignment="1">
      <alignment horizontal="center"/>
    </xf>
    <xf numFmtId="0" fontId="12" fillId="0" borderId="0" xfId="0" applyFont="1" applyBorder="1" applyAlignment="1">
      <alignment horizontal="center"/>
    </xf>
    <xf numFmtId="0" fontId="53" fillId="0" borderId="0" xfId="41" applyFont="1"/>
    <xf numFmtId="0" fontId="54" fillId="0" borderId="0" xfId="43" applyFont="1" applyAlignment="1">
      <alignment horizontal="left"/>
    </xf>
    <xf numFmtId="0" fontId="56" fillId="0" borderId="0" xfId="44" applyFont="1" applyBorder="1" applyAlignment="1" applyProtection="1">
      <alignment horizontal="left" vertical="center"/>
      <protection locked="0"/>
    </xf>
    <xf numFmtId="0" fontId="54" fillId="0" borderId="0" xfId="43" applyFont="1" applyAlignment="1">
      <alignment vertical="center"/>
    </xf>
    <xf numFmtId="0" fontId="56" fillId="0" borderId="16" xfId="44" applyFont="1" applyBorder="1" applyAlignment="1" applyProtection="1">
      <alignment horizontal="left" vertical="center"/>
      <protection locked="0"/>
    </xf>
    <xf numFmtId="0" fontId="6" fillId="5" borderId="1" xfId="0" applyFont="1" applyFill="1" applyBorder="1" applyAlignment="1">
      <alignment horizontal="center"/>
    </xf>
    <xf numFmtId="0" fontId="6" fillId="7" borderId="0" xfId="0" applyFont="1" applyFill="1" applyAlignment="1">
      <alignment horizontal="center"/>
    </xf>
    <xf numFmtId="43" fontId="6" fillId="0" borderId="0" xfId="50" applyFont="1" applyAlignment="1">
      <alignment horizontal="center" wrapText="1"/>
    </xf>
    <xf numFmtId="0" fontId="6" fillId="10" borderId="0" xfId="0" applyFont="1" applyFill="1" applyAlignment="1">
      <alignment horizontal="center"/>
    </xf>
    <xf numFmtId="0" fontId="6" fillId="10" borderId="0" xfId="0" applyFont="1" applyFill="1" applyAlignment="1">
      <alignment horizontal="center" wrapText="1"/>
    </xf>
    <xf numFmtId="0" fontId="6" fillId="4" borderId="1" xfId="0" applyFont="1" applyFill="1" applyBorder="1" applyAlignment="1">
      <alignment horizontal="center" wrapText="1"/>
    </xf>
    <xf numFmtId="0" fontId="21" fillId="6" borderId="0" xfId="0" applyFont="1" applyFill="1" applyAlignment="1">
      <alignment horizontal="center"/>
    </xf>
    <xf numFmtId="0" fontId="6" fillId="11" borderId="0" xfId="0" applyFont="1" applyFill="1" applyAlignment="1">
      <alignment horizontal="center"/>
    </xf>
    <xf numFmtId="0" fontId="21" fillId="11" borderId="0" xfId="0" applyFont="1" applyFill="1" applyAlignment="1">
      <alignment horizontal="center"/>
    </xf>
    <xf numFmtId="0" fontId="21" fillId="11" borderId="1" xfId="0" applyFont="1" applyFill="1" applyBorder="1" applyAlignment="1">
      <alignment horizontal="center"/>
    </xf>
    <xf numFmtId="0" fontId="6" fillId="2" borderId="0" xfId="0" applyFont="1" applyFill="1" applyAlignment="1">
      <alignment horizontal="center"/>
    </xf>
    <xf numFmtId="0" fontId="49" fillId="0" borderId="49" xfId="42" applyFont="1" applyFill="1" applyBorder="1" applyAlignment="1">
      <alignment horizontal="left" vertical="center" wrapText="1" indent="1"/>
    </xf>
    <xf numFmtId="164" fontId="49" fillId="0" borderId="18" xfId="42" applyNumberFormat="1" applyFont="1" applyFill="1" applyBorder="1" applyAlignment="1">
      <alignment horizontal="center" vertical="center"/>
    </xf>
    <xf numFmtId="0" fontId="49" fillId="0" borderId="49" xfId="42" applyFont="1" applyFill="1" applyBorder="1" applyAlignment="1">
      <alignment vertical="center"/>
    </xf>
    <xf numFmtId="37" fontId="49" fillId="0" borderId="18" xfId="42" applyNumberFormat="1" applyFont="1" applyFill="1" applyBorder="1" applyAlignment="1">
      <alignment horizontal="center" vertical="center"/>
    </xf>
    <xf numFmtId="0" fontId="49" fillId="0" borderId="49" xfId="42" applyFont="1" applyFill="1" applyBorder="1" applyAlignment="1">
      <alignment horizontal="left" vertical="center" indent="1"/>
    </xf>
    <xf numFmtId="169" fontId="49" fillId="0" borderId="18" xfId="42" applyNumberFormat="1" applyFont="1" applyFill="1" applyBorder="1" applyAlignment="1">
      <alignment horizontal="center" vertical="center"/>
    </xf>
    <xf numFmtId="0" fontId="61" fillId="0" borderId="0" xfId="42" applyFont="1" applyAlignment="1">
      <alignment horizontal="center" vertical="center" wrapText="1"/>
    </xf>
    <xf numFmtId="1" fontId="49" fillId="0" borderId="18" xfId="42" applyNumberFormat="1" applyFont="1" applyFill="1" applyBorder="1" applyAlignment="1">
      <alignment horizontal="center" vertical="center"/>
    </xf>
    <xf numFmtId="3" fontId="49" fillId="0" borderId="18" xfId="42" applyNumberFormat="1" applyFont="1" applyFill="1" applyBorder="1" applyAlignment="1">
      <alignment horizontal="center" vertical="center"/>
    </xf>
    <xf numFmtId="0" fontId="49" fillId="0" borderId="49" xfId="42" applyFont="1" applyFill="1" applyBorder="1" applyAlignment="1">
      <alignment horizontal="left" vertical="center" wrapText="1" indent="2"/>
    </xf>
    <xf numFmtId="0" fontId="49" fillId="0" borderId="49" xfId="42" applyFont="1" applyFill="1" applyBorder="1" applyAlignment="1">
      <alignment horizontal="left" vertical="center" indent="2"/>
    </xf>
    <xf numFmtId="167" fontId="49" fillId="0" borderId="18" xfId="42" applyNumberFormat="1" applyFont="1" applyFill="1" applyBorder="1" applyAlignment="1">
      <alignment horizontal="center" vertical="center"/>
    </xf>
    <xf numFmtId="0" fontId="44" fillId="0" borderId="47" xfId="42" applyFont="1" applyBorder="1">
      <alignment vertical="center" wrapText="1"/>
    </xf>
    <xf numFmtId="0" fontId="66" fillId="14" borderId="48" xfId="42" applyFont="1" applyFill="1" applyBorder="1" applyAlignment="1">
      <alignment horizontal="left" vertical="center" indent="1"/>
    </xf>
    <xf numFmtId="0" fontId="66" fillId="14" borderId="48" xfId="42" applyFont="1" applyFill="1" applyBorder="1" applyAlignment="1">
      <alignment horizontal="center" vertical="center"/>
    </xf>
    <xf numFmtId="0" fontId="66" fillId="14" borderId="17" xfId="42" applyFont="1" applyFill="1" applyBorder="1" applyAlignment="1">
      <alignment horizontal="center" vertical="center"/>
    </xf>
    <xf numFmtId="0" fontId="48" fillId="0" borderId="25" xfId="45" applyFont="1" applyFill="1" applyProtection="1">
      <alignment vertical="center"/>
      <protection locked="0"/>
    </xf>
    <xf numFmtId="0" fontId="44" fillId="0" borderId="45" xfId="42" applyFont="1" applyBorder="1" applyProtection="1">
      <alignment vertical="center" wrapText="1"/>
      <protection locked="0"/>
    </xf>
    <xf numFmtId="0" fontId="44" fillId="0" borderId="26" xfId="42" applyFont="1" applyBorder="1" applyProtection="1">
      <alignment vertical="center" wrapText="1"/>
      <protection locked="0"/>
    </xf>
    <xf numFmtId="0" fontId="44" fillId="0" borderId="46" xfId="42" applyFont="1" applyBorder="1" applyProtection="1">
      <alignment vertical="center" wrapText="1"/>
      <protection locked="0"/>
    </xf>
    <xf numFmtId="0" fontId="68" fillId="0" borderId="25" xfId="45" applyNumberFormat="1" applyFont="1" applyFill="1" applyAlignment="1" applyProtection="1">
      <alignment horizontal="center" vertical="center"/>
      <protection locked="0"/>
    </xf>
    <xf numFmtId="0" fontId="47" fillId="0" borderId="0" xfId="46" applyFont="1" applyAlignment="1" applyProtection="1">
      <alignment vertical="top"/>
      <protection locked="0"/>
    </xf>
    <xf numFmtId="0" fontId="47" fillId="0" borderId="26" xfId="46" applyFont="1" applyBorder="1" applyAlignment="1" applyProtection="1">
      <alignment vertical="top"/>
      <protection locked="0"/>
    </xf>
    <xf numFmtId="0" fontId="48" fillId="0" borderId="25" xfId="45" applyFont="1" applyProtection="1">
      <alignment vertical="center"/>
      <protection locked="0"/>
    </xf>
    <xf numFmtId="0" fontId="48" fillId="0" borderId="28" xfId="45" applyFont="1" applyBorder="1" applyAlignment="1" applyProtection="1">
      <alignment horizontal="center" vertical="center"/>
      <protection locked="0"/>
    </xf>
    <xf numFmtId="0" fontId="66" fillId="14" borderId="30" xfId="47" applyFont="1" applyFill="1" applyBorder="1" applyAlignment="1" applyProtection="1">
      <alignment horizontal="center" vertical="center" wrapText="1"/>
    </xf>
    <xf numFmtId="0" fontId="66" fillId="14" borderId="31" xfId="47" applyFont="1" applyFill="1" applyBorder="1" applyAlignment="1" applyProtection="1">
      <alignment horizontal="center" vertical="center" wrapText="1"/>
    </xf>
    <xf numFmtId="0" fontId="66" fillId="14" borderId="32" xfId="47" applyFont="1" applyFill="1" applyBorder="1" applyAlignment="1" applyProtection="1">
      <alignment horizontal="center" vertical="center" wrapText="1"/>
    </xf>
    <xf numFmtId="37" fontId="45" fillId="0" borderId="36" xfId="12" applyNumberFormat="1" applyFont="1" applyBorder="1" applyAlignment="1" applyProtection="1">
      <alignment horizontal="center" vertical="center"/>
    </xf>
    <xf numFmtId="37" fontId="45" fillId="0" borderId="33" xfId="12" applyNumberFormat="1" applyFont="1" applyBorder="1" applyAlignment="1" applyProtection="1">
      <alignment horizontal="center" vertical="center"/>
    </xf>
    <xf numFmtId="37" fontId="45" fillId="0" borderId="37" xfId="12" applyNumberFormat="1" applyFont="1" applyBorder="1" applyAlignment="1" applyProtection="1">
      <alignment horizontal="center" vertical="center"/>
    </xf>
    <xf numFmtId="9" fontId="49" fillId="0" borderId="39" xfId="49" applyFont="1" applyBorder="1" applyAlignment="1" applyProtection="1">
      <alignment horizontal="left" vertical="center" indent="2"/>
    </xf>
    <xf numFmtId="9" fontId="49" fillId="0" borderId="40" xfId="49" applyFont="1" applyBorder="1" applyAlignment="1" applyProtection="1">
      <alignment horizontal="left" vertical="center" indent="2"/>
    </xf>
    <xf numFmtId="9" fontId="49" fillId="0" borderId="41" xfId="49" applyFont="1" applyBorder="1" applyAlignment="1" applyProtection="1">
      <alignment horizontal="left" vertical="center" indent="2"/>
    </xf>
    <xf numFmtId="0" fontId="44" fillId="0" borderId="43" xfId="42" applyFont="1" applyBorder="1" applyAlignment="1" applyProtection="1">
      <alignment horizontal="left" indent="1"/>
      <protection locked="0"/>
    </xf>
    <xf numFmtId="0" fontId="44" fillId="0" borderId="0" xfId="42" applyFont="1" applyBorder="1" applyAlignment="1" applyProtection="1">
      <alignment horizontal="left" indent="1"/>
      <protection locked="0"/>
    </xf>
    <xf numFmtId="0" fontId="44" fillId="0" borderId="35" xfId="42" applyFont="1" applyBorder="1" applyAlignment="1" applyProtection="1">
      <alignment horizontal="left" indent="1"/>
      <protection locked="0"/>
    </xf>
    <xf numFmtId="0" fontId="66" fillId="14" borderId="5" xfId="47" applyFont="1" applyFill="1" applyBorder="1" applyAlignment="1" applyProtection="1">
      <alignment horizontal="center" vertical="center" wrapText="1"/>
    </xf>
    <xf numFmtId="0" fontId="66" fillId="14" borderId="7" xfId="47" applyFont="1" applyFill="1" applyBorder="1" applyAlignment="1" applyProtection="1">
      <alignment horizontal="center" vertical="center" wrapText="1"/>
    </xf>
    <xf numFmtId="168" fontId="45" fillId="0" borderId="53" xfId="12" applyNumberFormat="1" applyFont="1" applyBorder="1" applyAlignment="1" applyProtection="1">
      <alignment horizontal="center" vertical="center"/>
    </xf>
    <xf numFmtId="168" fontId="45" fillId="0" borderId="54" xfId="12" applyNumberFormat="1" applyFont="1" applyBorder="1" applyAlignment="1" applyProtection="1">
      <alignment horizontal="center" vertical="center"/>
    </xf>
    <xf numFmtId="9" fontId="49" fillId="0" borderId="8" xfId="49" applyFont="1" applyBorder="1" applyAlignment="1" applyProtection="1">
      <alignment horizontal="center" vertical="center"/>
    </xf>
    <xf numFmtId="9" fontId="49" fillId="0" borderId="9" xfId="49" applyFont="1" applyBorder="1" applyAlignment="1" applyProtection="1">
      <alignment horizontal="center" vertical="center"/>
    </xf>
    <xf numFmtId="0" fontId="44" fillId="0" borderId="8" xfId="42" applyFont="1" applyBorder="1" applyAlignment="1" applyProtection="1">
      <alignment horizontal="center"/>
      <protection locked="0"/>
    </xf>
    <xf numFmtId="0" fontId="44" fillId="0" borderId="9" xfId="42" applyFont="1" applyBorder="1" applyAlignment="1" applyProtection="1">
      <alignment horizontal="center"/>
      <protection locked="0"/>
    </xf>
    <xf numFmtId="0" fontId="44" fillId="0" borderId="10" xfId="42" applyFont="1" applyBorder="1" applyAlignment="1" applyProtection="1">
      <alignment horizontal="center" vertical="center" wrapText="1"/>
      <protection locked="0"/>
    </xf>
    <xf numFmtId="0" fontId="44" fillId="0" borderId="12" xfId="42" applyFont="1" applyBorder="1" applyAlignment="1" applyProtection="1">
      <alignment horizontal="center" vertical="center" wrapText="1"/>
      <protection locked="0"/>
    </xf>
    <xf numFmtId="0" fontId="18" fillId="0" borderId="0" xfId="0" applyFont="1" applyBorder="1" applyAlignment="1">
      <alignment horizontal="center"/>
    </xf>
    <xf numFmtId="0" fontId="18" fillId="0" borderId="9" xfId="0" applyFont="1" applyBorder="1" applyAlignment="1">
      <alignment horizontal="center"/>
    </xf>
    <xf numFmtId="0" fontId="26" fillId="0" borderId="5" xfId="0" applyFont="1" applyFill="1" applyBorder="1" applyAlignment="1">
      <alignment horizontal="center"/>
    </xf>
    <xf numFmtId="0" fontId="26" fillId="0" borderId="6" xfId="0" applyFont="1" applyFill="1" applyBorder="1" applyAlignment="1">
      <alignment horizontal="center"/>
    </xf>
    <xf numFmtId="0" fontId="26" fillId="0" borderId="7" xfId="0" applyFont="1" applyFill="1" applyBorder="1" applyAlignment="1">
      <alignment horizontal="center"/>
    </xf>
    <xf numFmtId="0" fontId="26" fillId="0" borderId="5"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167" fontId="18" fillId="0" borderId="0" xfId="11" applyNumberFormat="1" applyFont="1" applyBorder="1" applyAlignment="1">
      <alignment horizontal="center" vertical="center"/>
    </xf>
    <xf numFmtId="167" fontId="18" fillId="0" borderId="9" xfId="11" applyNumberFormat="1" applyFont="1" applyBorder="1" applyAlignment="1">
      <alignment horizontal="center" vertical="center"/>
    </xf>
    <xf numFmtId="0" fontId="7" fillId="0" borderId="0" xfId="0" applyFont="1" applyBorder="1" applyAlignment="1">
      <alignment horizontal="center"/>
    </xf>
    <xf numFmtId="0" fontId="7" fillId="0" borderId="9" xfId="0" applyFont="1" applyBorder="1" applyAlignment="1">
      <alignment horizontal="center"/>
    </xf>
    <xf numFmtId="3" fontId="18" fillId="0" borderId="0"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168" fontId="18" fillId="0" borderId="0" xfId="11" applyNumberFormat="1" applyFont="1" applyBorder="1" applyAlignment="1">
      <alignment horizontal="center" vertical="center"/>
    </xf>
    <xf numFmtId="168" fontId="18" fillId="0" borderId="9" xfId="11" applyNumberFormat="1" applyFont="1" applyBorder="1" applyAlignment="1">
      <alignment horizontal="center" vertical="center"/>
    </xf>
    <xf numFmtId="0" fontId="18" fillId="0" borderId="13" xfId="0" applyFont="1" applyBorder="1" applyAlignment="1">
      <alignment horizontal="center"/>
    </xf>
    <xf numFmtId="0" fontId="18" fillId="0" borderId="14" xfId="0" applyFont="1" applyBorder="1" applyAlignment="1">
      <alignment horizontal="center"/>
    </xf>
    <xf numFmtId="167" fontId="18" fillId="0" borderId="13" xfId="11" applyNumberFormat="1" applyFont="1" applyBorder="1" applyAlignment="1">
      <alignment horizontal="center" vertical="center"/>
    </xf>
    <xf numFmtId="167" fontId="18" fillId="0" borderId="14" xfId="11" applyNumberFormat="1" applyFont="1" applyBorder="1" applyAlignment="1">
      <alignment horizontal="center" vertical="center"/>
    </xf>
    <xf numFmtId="168" fontId="18" fillId="0" borderId="13" xfId="11" applyNumberFormat="1" applyFont="1" applyBorder="1" applyAlignment="1">
      <alignment horizontal="center" vertical="center"/>
    </xf>
    <xf numFmtId="168" fontId="18" fillId="0" borderId="14" xfId="11" applyNumberFormat="1" applyFont="1" applyBorder="1" applyAlignment="1">
      <alignment horizontal="center" vertical="center"/>
    </xf>
    <xf numFmtId="0" fontId="63" fillId="0" borderId="0" xfId="0" applyFont="1" applyAlignment="1">
      <alignment horizontal="center"/>
    </xf>
    <xf numFmtId="3" fontId="18" fillId="0" borderId="13" xfId="0" applyNumberFormat="1" applyFont="1" applyFill="1" applyBorder="1" applyAlignment="1">
      <alignment horizontal="center" vertical="center"/>
    </xf>
    <xf numFmtId="3" fontId="18" fillId="0" borderId="14" xfId="0" applyNumberFormat="1" applyFont="1" applyFill="1" applyBorder="1" applyAlignment="1">
      <alignment horizontal="center" vertical="center"/>
    </xf>
    <xf numFmtId="0" fontId="21" fillId="8" borderId="0" xfId="0" applyFont="1" applyFill="1" applyAlignment="1">
      <alignment horizontal="center" wrapText="1"/>
    </xf>
    <xf numFmtId="0" fontId="21" fillId="8" borderId="0" xfId="0" applyFont="1" applyFill="1" applyAlignment="1">
      <alignment horizontal="center"/>
    </xf>
    <xf numFmtId="0" fontId="6" fillId="0" borderId="55" xfId="0" applyFont="1" applyBorder="1" applyAlignment="1">
      <alignment horizontal="center"/>
    </xf>
    <xf numFmtId="0" fontId="6" fillId="0" borderId="56" xfId="0" applyFont="1" applyBorder="1" applyAlignment="1">
      <alignment horizontal="center"/>
    </xf>
    <xf numFmtId="0" fontId="6" fillId="0" borderId="57" xfId="0" applyFont="1" applyBorder="1" applyAlignment="1">
      <alignment horizontal="center"/>
    </xf>
    <xf numFmtId="0" fontId="64" fillId="17" borderId="0" xfId="0" applyFont="1" applyFill="1" applyBorder="1" applyAlignment="1">
      <alignment horizontal="center"/>
    </xf>
    <xf numFmtId="0" fontId="65" fillId="17" borderId="15" xfId="44" applyFont="1" applyFill="1" applyBorder="1" applyAlignment="1">
      <alignment horizontal="center" vertical="center" wrapText="1"/>
    </xf>
    <xf numFmtId="0" fontId="74" fillId="0" borderId="0" xfId="0" applyFont="1" applyAlignment="1">
      <alignment vertical="top" wrapText="1"/>
    </xf>
    <xf numFmtId="0" fontId="49" fillId="0" borderId="25" xfId="45" applyFont="1" applyProtection="1">
      <alignment vertical="center"/>
      <protection locked="0"/>
    </xf>
    <xf numFmtId="0" fontId="0" fillId="0" borderId="25" xfId="0" applyBorder="1"/>
  </cellXfs>
  <cellStyles count="52">
    <cellStyle name="Comma" xfId="50" builtinId="3"/>
    <cellStyle name="Comma 2" xfId="5"/>
    <cellStyle name="Comma 2 2" xfId="31"/>
    <cellStyle name="Comma 2 3" xfId="36"/>
    <cellStyle name="Comma 3" xfId="14"/>
    <cellStyle name="Comma 4" xfId="26"/>
    <cellStyle name="Currency" xfId="11" builtinId="4"/>
    <cellStyle name="Currency 2" xfId="6"/>
    <cellStyle name="Currency 2 2" xfId="16"/>
    <cellStyle name="Currency 3" xfId="23"/>
    <cellStyle name="Currency 3 2" xfId="51"/>
    <cellStyle name="Heading 1 2" xfId="45"/>
    <cellStyle name="Heading 2 2" xfId="46"/>
    <cellStyle name="Heading 3 2" xfId="43"/>
    <cellStyle name="Hyperlink" xfId="44" builtinId="8"/>
    <cellStyle name="Key Metric Header" xfId="47"/>
    <cellStyle name="Key Metric Percentage" xfId="49"/>
    <cellStyle name="Key Metric Value" xfId="48"/>
    <cellStyle name="Normal" xfId="0" builtinId="0"/>
    <cellStyle name="Normal 10" xfId="32"/>
    <cellStyle name="Normal 11" xfId="33"/>
    <cellStyle name="Normal 12" xfId="38"/>
    <cellStyle name="Normal 13" xfId="39"/>
    <cellStyle name="Normal 14" xfId="42"/>
    <cellStyle name="Normal 2" xfId="2"/>
    <cellStyle name="Normal 2 2" xfId="15"/>
    <cellStyle name="Normal 2 2 2" xfId="20"/>
    <cellStyle name="Normal 2 3" xfId="13"/>
    <cellStyle name="Normal 2 3 2" xfId="37"/>
    <cellStyle name="Normal 2 4" xfId="30"/>
    <cellStyle name="Normal 2 5" xfId="35"/>
    <cellStyle name="Normal 2 6" xfId="40"/>
    <cellStyle name="Normal 3" xfId="3"/>
    <cellStyle name="Normal 3 2" xfId="19"/>
    <cellStyle name="Normal 4" xfId="7"/>
    <cellStyle name="Normal 4 2" xfId="27"/>
    <cellStyle name="Normal 5" xfId="8"/>
    <cellStyle name="Normal 5 2" xfId="21"/>
    <cellStyle name="Normal 6" xfId="9"/>
    <cellStyle name="Normal 6 2" xfId="22"/>
    <cellStyle name="Normal 7" xfId="1"/>
    <cellStyle name="Normal 8" xfId="25"/>
    <cellStyle name="Normal 9" xfId="34"/>
    <cellStyle name="Percent" xfId="12" builtinId="5"/>
    <cellStyle name="Percent 2" xfId="4"/>
    <cellStyle name="Percent 2 2" xfId="17"/>
    <cellStyle name="Percent 2 2 2" xfId="28"/>
    <cellStyle name="Percent 2 3" xfId="29"/>
    <cellStyle name="Percent 3" xfId="10"/>
    <cellStyle name="Percent 3 2" xfId="24"/>
    <cellStyle name="Percent 4" xfId="18"/>
    <cellStyle name="Title 2" xfId="41"/>
  </cellStyles>
  <dxfs count="762">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
      <font>
        <b/>
        <i val="0"/>
        <color rgb="FFFF000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b/>
        <i val="0"/>
        <color rgb="FFFF0000"/>
      </font>
      <fill>
        <patternFill patternType="none">
          <bgColor auto="1"/>
        </patternFill>
      </fill>
    </dxf>
    <dxf>
      <font>
        <b/>
        <i val="0"/>
        <color rgb="FF00B050"/>
      </font>
      <fill>
        <patternFill patternType="none">
          <bgColor auto="1"/>
        </patternFill>
      </fill>
    </dxf>
    <dxf>
      <font>
        <b/>
        <i val="0"/>
        <color rgb="FFFFC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b/>
        <i val="0"/>
        <color rgb="FFFF0000"/>
      </font>
      <fill>
        <patternFill patternType="none">
          <bgColor auto="1"/>
        </patternFill>
      </fill>
    </dxf>
    <dxf>
      <font>
        <b/>
        <i val="0"/>
        <color rgb="FF00B050"/>
      </font>
    </dxf>
    <dxf>
      <font>
        <b/>
        <i val="0"/>
        <color rgb="FFFFCC00"/>
      </font>
    </dxf>
    <dxf>
      <font>
        <b/>
        <i val="0"/>
        <color rgb="FFFF0000"/>
      </font>
      <fill>
        <patternFill patternType="none">
          <bgColor auto="1"/>
        </patternFill>
      </fill>
    </dxf>
    <dxf>
      <font>
        <b/>
        <i val="0"/>
        <color rgb="FF00B050"/>
      </font>
    </dxf>
    <dxf>
      <font>
        <b/>
        <i val="0"/>
        <color rgb="FFFFCC00"/>
      </font>
    </dxf>
    <dxf>
      <font>
        <b/>
        <i val="0"/>
        <color rgb="FFFFC000"/>
      </font>
    </dxf>
    <dxf>
      <font>
        <b/>
        <i val="0"/>
        <color rgb="FFFF0000"/>
      </font>
    </dxf>
    <dxf>
      <font>
        <b/>
        <i val="0"/>
        <color rgb="FF00B050"/>
      </font>
    </dxf>
    <dxf>
      <font>
        <b/>
        <i val="0"/>
        <color rgb="FFFFC000"/>
      </font>
    </dxf>
    <dxf>
      <font>
        <b/>
        <i val="0"/>
        <color rgb="FFFF0000"/>
      </font>
    </dxf>
    <dxf>
      <font>
        <b/>
        <i val="0"/>
        <color rgb="FF00B050"/>
      </font>
    </dxf>
    <dxf>
      <font>
        <b/>
        <i val="0"/>
        <color rgb="FFFFC000"/>
      </font>
    </dxf>
    <dxf>
      <font>
        <b/>
        <i val="0"/>
        <color rgb="FFFF0000"/>
      </font>
    </dxf>
    <dxf>
      <font>
        <b/>
        <i val="0"/>
        <color rgb="FF00B050"/>
      </font>
    </dxf>
    <dxf>
      <font>
        <color rgb="FF00B05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FFC000"/>
      </font>
      <fill>
        <patternFill patternType="none">
          <bgColor auto="1"/>
        </patternFill>
      </fill>
    </dxf>
    <dxf>
      <font>
        <color rgb="FF00B05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rgb="FFFFC000"/>
      </font>
      <fill>
        <patternFill patternType="none">
          <bgColor auto="1"/>
        </patternFill>
      </fill>
    </dxf>
    <dxf>
      <font>
        <color rgb="FFFF0000"/>
      </font>
      <fill>
        <patternFill patternType="none">
          <bgColor auto="1"/>
        </patternFill>
      </fill>
    </dxf>
    <dxf>
      <font>
        <color rgb="FF00B050"/>
      </font>
      <fill>
        <patternFill patternType="none">
          <bgColor auto="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4"/>
        <color theme="1"/>
        <name val="Calibri"/>
        <scheme val="minor"/>
      </font>
    </dxf>
  </dxfs>
  <tableStyles count="0" defaultTableStyle="TableStyleMedium2" defaultPivotStyle="PivotStyleLight16"/>
  <colors>
    <mruColors>
      <color rgb="FFFFFF99"/>
      <color rgb="FFFFFF00"/>
      <color rgb="FFFF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266700</xdr:rowOff>
    </xdr:from>
    <xdr:to>
      <xdr:col>3</xdr:col>
      <xdr:colOff>1518409</xdr:colOff>
      <xdr:row>0</xdr:row>
      <xdr:rowOff>3241178</xdr:rowOff>
    </xdr:to>
    <xdr:pic>
      <xdr:nvPicPr>
        <xdr:cNvPr id="4" name="Picture 3" descr="http://www.clker.com/cliparts/7/o/m/z/h/o/open-folder-blue.svg.h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266700"/>
          <a:ext cx="4280659" cy="2974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1346702</xdr:colOff>
      <xdr:row>0</xdr:row>
      <xdr:rowOff>1225491</xdr:rowOff>
    </xdr:from>
    <xdr:to>
      <xdr:col>3</xdr:col>
      <xdr:colOff>1156314</xdr:colOff>
      <xdr:row>0</xdr:row>
      <xdr:rowOff>2170506</xdr:rowOff>
    </xdr:to>
    <xdr:sp macro="" textlink="">
      <xdr:nvSpPr>
        <xdr:cNvPr id="5" name="TextBox 4"/>
        <xdr:cNvSpPr txBox="1"/>
      </xdr:nvSpPr>
      <xdr:spPr>
        <a:xfrm rot="19962743">
          <a:off x="1956302" y="1225491"/>
          <a:ext cx="2590912" cy="945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t>Internal</a:t>
          </a:r>
          <a:r>
            <a:rPr lang="en-US" sz="1800" b="1" baseline="0"/>
            <a:t> Controls Data</a:t>
          </a:r>
          <a:endParaRPr lang="en-US" sz="18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87</xdr:row>
      <xdr:rowOff>38100</xdr:rowOff>
    </xdr:from>
    <xdr:to>
      <xdr:col>1</xdr:col>
      <xdr:colOff>2809875</xdr:colOff>
      <xdr:row>90</xdr:row>
      <xdr:rowOff>47625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4154150"/>
          <a:ext cx="2657475" cy="581025"/>
        </a:xfrm>
        <a:prstGeom prst="rect">
          <a:avLst/>
        </a:prstGeom>
        <a:noFill/>
        <a:ln>
          <a:noFill/>
        </a:ln>
      </xdr:spPr>
    </xdr:pic>
    <xdr:clientData/>
  </xdr:twoCellAnchor>
  <xdr:twoCellAnchor editAs="oneCell">
    <xdr:from>
      <xdr:col>1</xdr:col>
      <xdr:colOff>152400</xdr:colOff>
      <xdr:row>87</xdr:row>
      <xdr:rowOff>38100</xdr:rowOff>
    </xdr:from>
    <xdr:to>
      <xdr:col>1</xdr:col>
      <xdr:colOff>2809875</xdr:colOff>
      <xdr:row>90</xdr:row>
      <xdr:rowOff>47625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6440150"/>
          <a:ext cx="2657475" cy="581025"/>
        </a:xfrm>
        <a:prstGeom prst="rect">
          <a:avLst/>
        </a:prstGeom>
        <a:noFill/>
        <a:ln>
          <a:noFill/>
        </a:ln>
      </xdr:spPr>
    </xdr:pic>
    <xdr:clientData/>
  </xdr:twoCellAnchor>
</xdr:wsDr>
</file>

<file path=xl/tables/table1.xml><?xml version="1.0" encoding="utf-8"?>
<table xmlns="http://schemas.openxmlformats.org/spreadsheetml/2006/main" id="1" name="CertifyingUnits" displayName="CertifyingUnits" ref="A1:A47" totalsRowShown="0" headerRowDxfId="761" dataDxfId="760">
  <autoFilter ref="A1:A47"/>
  <sortState ref="A2:A47">
    <sortCondition ref="A2"/>
  </sortState>
  <tableColumns count="1">
    <tableColumn id="1" name="Unit" dataDxfId="75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9"/>
  <sheetViews>
    <sheetView showGridLines="0" tabSelected="1" workbookViewId="0">
      <selection activeCell="B4" sqref="B4:D4"/>
    </sheetView>
  </sheetViews>
  <sheetFormatPr defaultRowHeight="15" x14ac:dyDescent="0.25"/>
  <cols>
    <col min="2" max="2" width="28.7109375" customWidth="1"/>
    <col min="3" max="3" width="13" customWidth="1"/>
    <col min="4" max="4" width="28.7109375" customWidth="1"/>
  </cols>
  <sheetData>
    <row r="1" spans="2:4" s="4" customFormat="1" ht="264.75" customHeight="1" x14ac:dyDescent="0.5">
      <c r="B1" s="228"/>
    </row>
    <row r="2" spans="2:4" hidden="1" x14ac:dyDescent="0.25"/>
    <row r="3" spans="2:4" ht="18.75" x14ac:dyDescent="0.3">
      <c r="B3" s="322" t="s">
        <v>320</v>
      </c>
      <c r="C3" s="322"/>
      <c r="D3" s="322"/>
    </row>
    <row r="4" spans="2:4" ht="23.25" x14ac:dyDescent="0.35">
      <c r="B4" s="417" t="s">
        <v>40</v>
      </c>
      <c r="C4" s="417"/>
      <c r="D4" s="417"/>
    </row>
    <row r="6" spans="2:4" ht="19.5" thickBot="1" x14ac:dyDescent="0.35">
      <c r="B6" s="322" t="s">
        <v>323</v>
      </c>
      <c r="C6" s="322"/>
      <c r="D6" s="322"/>
    </row>
    <row r="7" spans="2:4" ht="57.75" customHeight="1" thickBot="1" x14ac:dyDescent="0.3">
      <c r="B7" s="418" t="s">
        <v>324</v>
      </c>
      <c r="D7" s="418" t="s">
        <v>322</v>
      </c>
    </row>
    <row r="9" spans="2:4" ht="94.5" x14ac:dyDescent="0.25">
      <c r="B9" s="419" t="s">
        <v>325</v>
      </c>
      <c r="C9" s="64"/>
      <c r="D9" s="419" t="s">
        <v>434</v>
      </c>
    </row>
  </sheetData>
  <mergeCells count="3">
    <mergeCell ref="B3:D3"/>
    <mergeCell ref="B4:D4"/>
    <mergeCell ref="B6:D6"/>
  </mergeCells>
  <hyperlinks>
    <hyperlink ref="B7" location="'Yr Over Yr Metrics and Trends'!B3" display="Report One"/>
    <hyperlink ref="D7" location="'5 Year ScoreCard'!A2" display="5 Year ScoreCard"/>
  </hyperlinks>
  <pageMargins left="0.7" right="0.7" top="0.75" bottom="0.75" header="0.3" footer="0.3"/>
  <pageSetup orientation="portrait" r:id="rId1"/>
  <customProperties>
    <customPr name="EpmWorksheetKeyString_GUID" r:id="rId2"/>
  </customProperties>
  <drawing r:id="rId3"/>
  <extLst>
    <ext xmlns:x14="http://schemas.microsoft.com/office/spreadsheetml/2009/9/main" uri="{CCE6A557-97BC-4b89-ADB6-D9C93CAAB3DF}">
      <x14:dataValidations xmlns:xm="http://schemas.microsoft.com/office/excel/2006/main" count="1">
        <x14:dataValidation type="list" showErrorMessage="1" errorTitle="Invalid Selection" error="Please select Unit from Dropdown List">
          <x14:formula1>
            <xm:f>'Tables for Filters'!$A$2:$A$47</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W54"/>
  <sheetViews>
    <sheetView workbookViewId="0">
      <pane xSplit="1" ySplit="5" topLeftCell="AJ42"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2" max="2" width="14.28515625" bestFit="1" customWidth="1"/>
    <col min="3" max="3" width="12.5703125" bestFit="1" customWidth="1"/>
    <col min="4" max="4" width="6.140625" bestFit="1" customWidth="1"/>
    <col min="5" max="5" width="11.5703125" bestFit="1" customWidth="1"/>
    <col min="6" max="6" width="6.140625" bestFit="1" customWidth="1"/>
    <col min="7" max="7" width="1.7109375" customWidth="1"/>
    <col min="8" max="8" width="14.28515625" bestFit="1" customWidth="1"/>
    <col min="9" max="9" width="12.5703125" bestFit="1" customWidth="1"/>
    <col min="10" max="10" width="6.140625" bestFit="1" customWidth="1"/>
    <col min="11" max="11" width="11.5703125" bestFit="1" customWidth="1"/>
    <col min="12" max="12" width="5.140625" bestFit="1" customWidth="1"/>
    <col min="13" max="13" width="1.7109375" customWidth="1"/>
    <col min="14" max="14" width="14.28515625" bestFit="1" customWidth="1"/>
    <col min="15" max="15" width="12.5703125" bestFit="1" customWidth="1"/>
    <col min="16" max="16" width="6.140625" bestFit="1" customWidth="1"/>
    <col min="17" max="17" width="11.5703125" bestFit="1" customWidth="1"/>
    <col min="18" max="18" width="5.140625" bestFit="1" customWidth="1"/>
    <col min="19" max="19" width="1.7109375" customWidth="1"/>
    <col min="20" max="20" width="14.28515625" bestFit="1" customWidth="1"/>
    <col min="21" max="21" width="12.5703125" bestFit="1" customWidth="1"/>
    <col min="22" max="22" width="6.140625" bestFit="1" customWidth="1"/>
    <col min="23" max="23" width="11.5703125" bestFit="1" customWidth="1"/>
    <col min="24" max="24" width="6.140625" bestFit="1" customWidth="1"/>
    <col min="25" max="25" width="1.7109375" customWidth="1"/>
    <col min="26" max="26" width="14.28515625" bestFit="1" customWidth="1"/>
    <col min="27" max="27" width="12.5703125" bestFit="1" customWidth="1"/>
    <col min="28" max="28" width="6.140625" bestFit="1" customWidth="1"/>
    <col min="29" max="29" width="11.5703125" bestFit="1" customWidth="1"/>
    <col min="30" max="30" width="6.140625" bestFit="1" customWidth="1"/>
    <col min="31" max="31" width="1.7109375" customWidth="1"/>
    <col min="32" max="32" width="14.28515625" bestFit="1" customWidth="1"/>
    <col min="33" max="33" width="12.5703125" bestFit="1" customWidth="1"/>
    <col min="34" max="34" width="6.140625" bestFit="1" customWidth="1"/>
    <col min="35" max="35" width="11.5703125" bestFit="1" customWidth="1"/>
    <col min="36" max="36" width="6.140625" bestFit="1" customWidth="1"/>
    <col min="37" max="37" width="1.7109375" customWidth="1"/>
    <col min="38" max="39" width="14.28515625" customWidth="1"/>
    <col min="40" max="40" width="7.7109375" bestFit="1" customWidth="1"/>
    <col min="41" max="41" width="14.28515625" customWidth="1"/>
    <col min="42" max="42" width="7.7109375" bestFit="1" customWidth="1"/>
    <col min="44" max="44" width="30.42578125" customWidth="1"/>
    <col min="45" max="46" width="14.28515625" style="223" bestFit="1" customWidth="1"/>
    <col min="48" max="48" width="11.140625" bestFit="1" customWidth="1"/>
  </cols>
  <sheetData>
    <row r="1" spans="1:49"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c r="AJ1" s="29">
        <v>36</v>
      </c>
      <c r="AK1" s="29">
        <v>37</v>
      </c>
      <c r="AL1" s="29">
        <v>38</v>
      </c>
      <c r="AM1" s="29">
        <v>39</v>
      </c>
      <c r="AN1" s="29">
        <v>40</v>
      </c>
      <c r="AO1" s="29">
        <v>41</v>
      </c>
      <c r="AP1" s="29">
        <v>42</v>
      </c>
    </row>
    <row r="2" spans="1:49" x14ac:dyDescent="0.25">
      <c r="B2" s="32" t="s">
        <v>130</v>
      </c>
      <c r="C2" s="32"/>
      <c r="D2" s="32"/>
      <c r="E2" s="32"/>
      <c r="F2" s="32"/>
      <c r="G2" s="38"/>
      <c r="H2" s="32"/>
      <c r="I2" s="32"/>
      <c r="J2" s="32"/>
      <c r="K2" s="32"/>
      <c r="L2" s="32"/>
      <c r="M2" s="38"/>
      <c r="N2" s="32"/>
      <c r="O2" s="32"/>
      <c r="P2" s="32"/>
      <c r="Q2" s="32"/>
      <c r="R2" s="32"/>
      <c r="S2" s="38"/>
      <c r="T2" s="32"/>
      <c r="U2" s="32"/>
      <c r="V2" s="32"/>
      <c r="W2" s="32"/>
      <c r="X2" s="32"/>
      <c r="Y2" s="38"/>
      <c r="Z2" s="32"/>
      <c r="AA2" s="32"/>
      <c r="AB2" s="32"/>
      <c r="AC2" s="32"/>
      <c r="AD2" s="32"/>
      <c r="AE2" s="38"/>
      <c r="AF2" s="32"/>
      <c r="AG2" s="32"/>
      <c r="AH2" s="32"/>
      <c r="AI2" s="32"/>
      <c r="AJ2" s="32"/>
      <c r="AK2" s="38"/>
      <c r="AL2" s="32"/>
      <c r="AM2" s="32"/>
      <c r="AN2" s="32"/>
      <c r="AO2" s="32"/>
      <c r="AP2" s="32"/>
    </row>
    <row r="3" spans="1:49" x14ac:dyDescent="0.25">
      <c r="B3" s="32" t="s">
        <v>131</v>
      </c>
      <c r="C3" s="330" t="s">
        <v>132</v>
      </c>
      <c r="D3" s="330"/>
      <c r="E3" s="330" t="s">
        <v>133</v>
      </c>
      <c r="F3" s="330"/>
      <c r="G3" s="38"/>
      <c r="H3" s="32" t="s">
        <v>131</v>
      </c>
      <c r="I3" s="330" t="s">
        <v>132</v>
      </c>
      <c r="J3" s="330"/>
      <c r="K3" s="330" t="s">
        <v>133</v>
      </c>
      <c r="L3" s="330"/>
      <c r="M3" s="38"/>
      <c r="N3" s="32" t="s">
        <v>131</v>
      </c>
      <c r="O3" s="330" t="s">
        <v>132</v>
      </c>
      <c r="P3" s="330"/>
      <c r="Q3" s="330" t="s">
        <v>133</v>
      </c>
      <c r="R3" s="330"/>
      <c r="S3" s="38"/>
      <c r="T3" s="32" t="s">
        <v>131</v>
      </c>
      <c r="U3" s="330" t="s">
        <v>132</v>
      </c>
      <c r="V3" s="330"/>
      <c r="W3" s="330" t="s">
        <v>133</v>
      </c>
      <c r="X3" s="330"/>
      <c r="Y3" s="38"/>
      <c r="Z3" s="32" t="s">
        <v>131</v>
      </c>
      <c r="AA3" s="330" t="s">
        <v>132</v>
      </c>
      <c r="AB3" s="330"/>
      <c r="AC3" s="330" t="s">
        <v>133</v>
      </c>
      <c r="AD3" s="330"/>
      <c r="AE3" s="38"/>
      <c r="AF3" s="32" t="s">
        <v>131</v>
      </c>
      <c r="AG3" s="330" t="s">
        <v>132</v>
      </c>
      <c r="AH3" s="330"/>
      <c r="AI3" s="330" t="s">
        <v>133</v>
      </c>
      <c r="AJ3" s="330"/>
      <c r="AK3" s="38"/>
      <c r="AL3" s="32" t="s">
        <v>131</v>
      </c>
      <c r="AM3" s="330" t="s">
        <v>132</v>
      </c>
      <c r="AN3" s="330"/>
      <c r="AO3" s="330" t="s">
        <v>133</v>
      </c>
      <c r="AP3" s="330"/>
    </row>
    <row r="4" spans="1:49" x14ac:dyDescent="0.25">
      <c r="B4" s="15">
        <v>2014</v>
      </c>
      <c r="C4" s="15">
        <v>2014</v>
      </c>
      <c r="D4" s="15">
        <v>2014</v>
      </c>
      <c r="E4" s="15">
        <v>2014</v>
      </c>
      <c r="F4" s="15">
        <v>2014</v>
      </c>
      <c r="G4" s="15"/>
      <c r="H4" s="15">
        <v>2015</v>
      </c>
      <c r="I4" s="15">
        <v>2015</v>
      </c>
      <c r="J4" s="15">
        <v>2015</v>
      </c>
      <c r="K4" s="15">
        <v>2015</v>
      </c>
      <c r="L4" s="15">
        <v>2015</v>
      </c>
      <c r="M4" s="15"/>
      <c r="N4" s="15">
        <v>2016</v>
      </c>
      <c r="O4" s="15">
        <v>2016</v>
      </c>
      <c r="P4" s="15">
        <v>2016</v>
      </c>
      <c r="Q4" s="15">
        <v>2016</v>
      </c>
      <c r="R4" s="15">
        <v>2016</v>
      </c>
      <c r="S4" s="15"/>
      <c r="T4" s="15">
        <v>2017</v>
      </c>
      <c r="U4" s="15">
        <v>2017</v>
      </c>
      <c r="V4" s="15">
        <v>2017</v>
      </c>
      <c r="W4" s="15">
        <v>2017</v>
      </c>
      <c r="X4" s="15">
        <v>2017</v>
      </c>
      <c r="Y4" s="15"/>
      <c r="Z4" s="15">
        <v>2018</v>
      </c>
      <c r="AA4" s="15">
        <v>2018</v>
      </c>
      <c r="AB4" s="15">
        <v>2018</v>
      </c>
      <c r="AC4" s="15">
        <v>2018</v>
      </c>
      <c r="AD4" s="15">
        <v>2018</v>
      </c>
      <c r="AE4" s="15"/>
      <c r="AF4" s="15">
        <v>2019</v>
      </c>
      <c r="AG4" s="15">
        <v>2019</v>
      </c>
      <c r="AH4" s="15">
        <v>2019</v>
      </c>
      <c r="AI4" s="15">
        <v>2019</v>
      </c>
      <c r="AJ4" s="15">
        <v>2019</v>
      </c>
      <c r="AK4" s="15"/>
      <c r="AL4" s="15">
        <v>2020</v>
      </c>
      <c r="AM4" s="15">
        <v>2020</v>
      </c>
      <c r="AN4" s="15">
        <v>2020</v>
      </c>
      <c r="AO4" s="15">
        <v>2020</v>
      </c>
      <c r="AP4" s="15">
        <v>2020</v>
      </c>
    </row>
    <row r="5" spans="1:49" ht="63.75" x14ac:dyDescent="0.25">
      <c r="A5" s="40" t="s">
        <v>44</v>
      </c>
      <c r="B5" s="41" t="s">
        <v>49</v>
      </c>
      <c r="C5" s="41" t="s">
        <v>49</v>
      </c>
      <c r="D5" s="41" t="s">
        <v>51</v>
      </c>
      <c r="E5" s="41" t="s">
        <v>49</v>
      </c>
      <c r="F5" s="41" t="s">
        <v>51</v>
      </c>
      <c r="G5" s="41"/>
      <c r="H5" s="41" t="s">
        <v>49</v>
      </c>
      <c r="I5" s="41" t="s">
        <v>49</v>
      </c>
      <c r="J5" s="41" t="s">
        <v>51</v>
      </c>
      <c r="K5" s="41" t="s">
        <v>49</v>
      </c>
      <c r="L5" s="41" t="s">
        <v>51</v>
      </c>
      <c r="M5" s="41"/>
      <c r="N5" s="41" t="s">
        <v>49</v>
      </c>
      <c r="O5" s="41" t="s">
        <v>49</v>
      </c>
      <c r="P5" s="41" t="s">
        <v>51</v>
      </c>
      <c r="Q5" s="41" t="s">
        <v>49</v>
      </c>
      <c r="R5" s="41" t="s">
        <v>51</v>
      </c>
      <c r="S5" s="41"/>
      <c r="T5" s="41" t="s">
        <v>49</v>
      </c>
      <c r="U5" s="41" t="s">
        <v>49</v>
      </c>
      <c r="V5" s="41" t="s">
        <v>51</v>
      </c>
      <c r="W5" s="41" t="s">
        <v>49</v>
      </c>
      <c r="X5" s="41" t="s">
        <v>51</v>
      </c>
      <c r="Y5" s="41"/>
      <c r="Z5" s="41" t="s">
        <v>49</v>
      </c>
      <c r="AA5" s="41" t="s">
        <v>49</v>
      </c>
      <c r="AB5" s="41" t="s">
        <v>51</v>
      </c>
      <c r="AC5" s="41" t="s">
        <v>49</v>
      </c>
      <c r="AD5" s="41" t="s">
        <v>51</v>
      </c>
      <c r="AE5" s="41"/>
      <c r="AF5" s="41" t="s">
        <v>49</v>
      </c>
      <c r="AG5" s="41" t="s">
        <v>49</v>
      </c>
      <c r="AH5" s="41" t="s">
        <v>51</v>
      </c>
      <c r="AI5" s="41" t="s">
        <v>49</v>
      </c>
      <c r="AJ5" s="41" t="s">
        <v>51</v>
      </c>
      <c r="AK5" s="41"/>
      <c r="AL5" s="41" t="s">
        <v>49</v>
      </c>
      <c r="AM5" s="41" t="s">
        <v>49</v>
      </c>
      <c r="AN5" s="41" t="s">
        <v>51</v>
      </c>
      <c r="AO5" s="41" t="s">
        <v>49</v>
      </c>
      <c r="AP5" s="41" t="s">
        <v>51</v>
      </c>
      <c r="AR5" s="283" t="s">
        <v>44</v>
      </c>
      <c r="AS5" s="284" t="s">
        <v>313</v>
      </c>
      <c r="AT5" s="284" t="s">
        <v>314</v>
      </c>
      <c r="AU5" s="284" t="s">
        <v>405</v>
      </c>
      <c r="AV5" s="284" t="s">
        <v>406</v>
      </c>
      <c r="AW5" s="284" t="s">
        <v>407</v>
      </c>
    </row>
    <row r="6" spans="1:49" x14ac:dyDescent="0.25">
      <c r="A6" s="16" t="s">
        <v>0</v>
      </c>
      <c r="B6" s="35">
        <v>12009741</v>
      </c>
      <c r="C6" s="35">
        <v>687253</v>
      </c>
      <c r="D6" s="26">
        <v>5.7224631238925135E-2</v>
      </c>
      <c r="E6" s="35">
        <v>116462</v>
      </c>
      <c r="F6" s="26">
        <v>9.6972948875417055E-3</v>
      </c>
      <c r="G6" s="26"/>
      <c r="H6" s="35">
        <v>12710730.58</v>
      </c>
      <c r="I6" s="35">
        <v>1334751.46</v>
      </c>
      <c r="J6" s="26">
        <v>0.10500981447126227</v>
      </c>
      <c r="K6" s="35">
        <v>347621.30000000005</v>
      </c>
      <c r="L6" s="26">
        <v>2.7348648278878084E-2</v>
      </c>
      <c r="M6" s="26"/>
      <c r="N6" s="35">
        <v>12432804.48</v>
      </c>
      <c r="O6" s="35">
        <v>804842.89999999991</v>
      </c>
      <c r="P6" s="26">
        <v>6.473542645142602E-2</v>
      </c>
      <c r="Q6" s="35">
        <v>169937.93</v>
      </c>
      <c r="R6" s="26">
        <v>1.3668511418591857E-2</v>
      </c>
      <c r="S6" s="26"/>
      <c r="T6" s="87">
        <v>12649495.829999998</v>
      </c>
      <c r="U6" s="87">
        <v>362037.18</v>
      </c>
      <c r="V6" s="26">
        <v>2.8620680607789887E-2</v>
      </c>
      <c r="W6" s="87">
        <v>114238.96999999999</v>
      </c>
      <c r="X6" s="26">
        <v>8.9876006167381121E-3</v>
      </c>
      <c r="Y6" s="26"/>
      <c r="Z6" s="87">
        <v>13185040.559999999</v>
      </c>
      <c r="AA6" s="87">
        <v>945187.65000000014</v>
      </c>
      <c r="AB6" s="26">
        <v>7.1686366507468693E-2</v>
      </c>
      <c r="AC6" s="87">
        <v>307507.40000000002</v>
      </c>
      <c r="AD6" s="26">
        <v>2.3322446267848268E-2</v>
      </c>
      <c r="AE6" s="26"/>
      <c r="AF6" s="87">
        <v>13878045.92</v>
      </c>
      <c r="AG6" s="87">
        <v>886415.30000000016</v>
      </c>
      <c r="AH6" s="26">
        <v>6.3871765889069787E-2</v>
      </c>
      <c r="AI6" s="87">
        <v>203517.56</v>
      </c>
      <c r="AJ6" s="26">
        <v>1.4664712969907798E-2</v>
      </c>
      <c r="AK6" s="26"/>
      <c r="AL6" s="91">
        <v>13848978.310000001</v>
      </c>
      <c r="AM6" s="91">
        <v>130851.96</v>
      </c>
      <c r="AN6" s="84">
        <f t="shared" ref="AN6:AN51" si="0">AM6/AL6</f>
        <v>9.4484919443851741E-3</v>
      </c>
      <c r="AO6" s="91">
        <v>9378.32</v>
      </c>
      <c r="AP6" s="84">
        <f t="shared" ref="AP6:AP51" si="1">AO6/AL6</f>
        <v>6.7718497278807562E-4</v>
      </c>
      <c r="AQ6" s="159" t="str">
        <f t="shared" ref="AQ6:AQ51" si="2">IF(AR6=A6,"OK","No")</f>
        <v>No</v>
      </c>
      <c r="AR6" s="285" t="s">
        <v>361</v>
      </c>
      <c r="AS6" s="286">
        <v>13848978.310000001</v>
      </c>
      <c r="AT6" s="286">
        <v>130851.96</v>
      </c>
      <c r="AU6" s="222">
        <v>9.4484919443851741E-3</v>
      </c>
      <c r="AV6">
        <v>9378.32</v>
      </c>
      <c r="AW6" s="222">
        <v>6.7718497278807562E-4</v>
      </c>
    </row>
    <row r="7" spans="1:49" x14ac:dyDescent="0.25">
      <c r="A7" s="16" t="s">
        <v>25</v>
      </c>
      <c r="B7" s="35">
        <v>43031995</v>
      </c>
      <c r="C7" s="35">
        <v>409886</v>
      </c>
      <c r="D7" s="26">
        <v>9.5251451855764523E-3</v>
      </c>
      <c r="E7" s="35">
        <v>21065</v>
      </c>
      <c r="F7" s="26">
        <v>4.8951948428140502E-4</v>
      </c>
      <c r="G7" s="26"/>
      <c r="H7" s="35">
        <v>49167283.969999999</v>
      </c>
      <c r="I7" s="35">
        <v>165280.56</v>
      </c>
      <c r="J7" s="26">
        <v>3.3615963025504497E-3</v>
      </c>
      <c r="K7" s="35">
        <v>4781.25</v>
      </c>
      <c r="L7" s="26">
        <v>9.7244541775326376E-5</v>
      </c>
      <c r="M7" s="26"/>
      <c r="N7" s="35">
        <v>49526312.429999992</v>
      </c>
      <c r="O7" s="35">
        <v>146671.35</v>
      </c>
      <c r="P7" s="26">
        <v>2.9614833571004074E-3</v>
      </c>
      <c r="Q7" s="35">
        <v>70466.45</v>
      </c>
      <c r="R7" s="26">
        <v>1.422808332431303E-3</v>
      </c>
      <c r="S7" s="26"/>
      <c r="T7" s="87">
        <v>50322043.169999979</v>
      </c>
      <c r="U7" s="87">
        <v>61809.47</v>
      </c>
      <c r="V7" s="26">
        <v>1.2282782277180744E-3</v>
      </c>
      <c r="W7" s="87">
        <v>0</v>
      </c>
      <c r="X7" s="26">
        <v>0</v>
      </c>
      <c r="Y7" s="26"/>
      <c r="Z7" s="87">
        <v>54912298.190000013</v>
      </c>
      <c r="AA7" s="87">
        <v>357417.02999999997</v>
      </c>
      <c r="AB7" s="26">
        <v>6.5088703583906565E-3</v>
      </c>
      <c r="AC7" s="87">
        <v>165616.91999999998</v>
      </c>
      <c r="AD7" s="26">
        <v>3.0160260171037644E-3</v>
      </c>
      <c r="AE7" s="26"/>
      <c r="AF7" s="87">
        <v>56624244.56000001</v>
      </c>
      <c r="AG7" s="87">
        <v>58747.360000000001</v>
      </c>
      <c r="AH7" s="26">
        <v>1.0374948126283662E-3</v>
      </c>
      <c r="AI7" s="87">
        <v>17309.02</v>
      </c>
      <c r="AJ7" s="26">
        <v>3.0568213553222893E-4</v>
      </c>
      <c r="AK7" s="26"/>
      <c r="AL7" s="91">
        <v>56844070.82</v>
      </c>
      <c r="AM7" s="91">
        <v>89904.559999999983</v>
      </c>
      <c r="AN7" s="84">
        <f t="shared" si="0"/>
        <v>1.5815996057827722E-3</v>
      </c>
      <c r="AO7" s="91">
        <v>42680.26</v>
      </c>
      <c r="AP7" s="84">
        <f t="shared" si="1"/>
        <v>7.5083046277859807E-4</v>
      </c>
      <c r="AQ7" s="159" t="str">
        <f t="shared" si="2"/>
        <v>OK</v>
      </c>
      <c r="AR7" s="287" t="s">
        <v>25</v>
      </c>
      <c r="AS7" s="288">
        <v>56844070.82</v>
      </c>
      <c r="AT7" s="288">
        <v>89904.559999999983</v>
      </c>
      <c r="AU7" s="222">
        <v>1.5815996057827722E-3</v>
      </c>
      <c r="AV7">
        <v>42680.26</v>
      </c>
      <c r="AW7" s="222">
        <v>7.5083046277859807E-4</v>
      </c>
    </row>
    <row r="8" spans="1:49" x14ac:dyDescent="0.25">
      <c r="A8" s="16" t="s">
        <v>384</v>
      </c>
      <c r="B8" s="35">
        <v>1906942</v>
      </c>
      <c r="C8" s="35">
        <v>0</v>
      </c>
      <c r="D8" s="26">
        <v>0</v>
      </c>
      <c r="E8" s="35">
        <v>0</v>
      </c>
      <c r="F8" s="26">
        <v>0</v>
      </c>
      <c r="G8" s="26"/>
      <c r="H8" s="35">
        <v>1939107.37</v>
      </c>
      <c r="I8" s="35">
        <v>4119.28</v>
      </c>
      <c r="J8" s="26">
        <v>2.1243176441539694E-3</v>
      </c>
      <c r="K8" s="35">
        <v>0</v>
      </c>
      <c r="L8" s="26">
        <v>0</v>
      </c>
      <c r="M8" s="26"/>
      <c r="N8" s="35">
        <v>1934119.14</v>
      </c>
      <c r="O8" s="35">
        <v>0</v>
      </c>
      <c r="P8" s="26">
        <v>0</v>
      </c>
      <c r="Q8" s="35">
        <v>0</v>
      </c>
      <c r="R8" s="26">
        <v>0</v>
      </c>
      <c r="S8" s="26"/>
      <c r="T8" s="87">
        <v>1993947.72</v>
      </c>
      <c r="U8" s="87">
        <v>0</v>
      </c>
      <c r="V8" s="26">
        <v>0</v>
      </c>
      <c r="W8" s="87">
        <v>0</v>
      </c>
      <c r="X8" s="26">
        <v>0</v>
      </c>
      <c r="Y8" s="26"/>
      <c r="Z8" s="87">
        <v>1999215.71</v>
      </c>
      <c r="AA8" s="87">
        <v>0</v>
      </c>
      <c r="AB8" s="26">
        <v>0</v>
      </c>
      <c r="AC8" s="87">
        <v>0</v>
      </c>
      <c r="AD8" s="26">
        <v>0</v>
      </c>
      <c r="AE8" s="26"/>
      <c r="AF8" s="87">
        <v>1996243.24</v>
      </c>
      <c r="AG8" s="87">
        <v>2874.25</v>
      </c>
      <c r="AH8" s="26">
        <v>1.4398295470245399E-3</v>
      </c>
      <c r="AI8" s="87">
        <v>2874.25</v>
      </c>
      <c r="AJ8" s="26">
        <v>1.4398295470245399E-3</v>
      </c>
      <c r="AK8" s="26"/>
      <c r="AL8" s="91">
        <v>2151707.7400000002</v>
      </c>
      <c r="AM8" s="91"/>
      <c r="AN8" s="84">
        <f t="shared" si="0"/>
        <v>0</v>
      </c>
      <c r="AO8" s="91"/>
      <c r="AP8" s="84">
        <f t="shared" si="1"/>
        <v>0</v>
      </c>
      <c r="AQ8" s="159" t="str">
        <f t="shared" si="2"/>
        <v>OK</v>
      </c>
      <c r="AR8" s="285" t="s">
        <v>384</v>
      </c>
      <c r="AS8" s="288">
        <v>2151707.7400000002</v>
      </c>
      <c r="AT8" s="288"/>
      <c r="AU8" s="222">
        <v>0</v>
      </c>
      <c r="AW8" s="222">
        <v>0</v>
      </c>
    </row>
    <row r="9" spans="1:49" x14ac:dyDescent="0.25">
      <c r="A9" s="16" t="s">
        <v>1</v>
      </c>
      <c r="B9" s="35">
        <v>169961832</v>
      </c>
      <c r="C9" s="35">
        <v>14893937</v>
      </c>
      <c r="D9" s="26">
        <v>8.7631068839032045E-2</v>
      </c>
      <c r="E9" s="35">
        <v>2936376</v>
      </c>
      <c r="F9" s="26">
        <v>1.7276678919299952E-2</v>
      </c>
      <c r="G9" s="26"/>
      <c r="H9" s="35">
        <v>175322416.13999996</v>
      </c>
      <c r="I9" s="35">
        <v>14803640.490000006</v>
      </c>
      <c r="J9" s="26">
        <v>8.4436667118361383E-2</v>
      </c>
      <c r="K9" s="35">
        <v>2715810.01</v>
      </c>
      <c r="L9" s="26">
        <v>1.5490375217230339E-2</v>
      </c>
      <c r="M9" s="26"/>
      <c r="N9" s="35">
        <v>186505013.85000005</v>
      </c>
      <c r="O9" s="35">
        <v>18756161.540000003</v>
      </c>
      <c r="P9" s="26">
        <v>0.10056652715559151</v>
      </c>
      <c r="Q9" s="35">
        <v>4236985.1899999995</v>
      </c>
      <c r="R9" s="26">
        <v>2.2717808505714861E-2</v>
      </c>
      <c r="S9" s="26"/>
      <c r="T9" s="87">
        <v>197170909.93000013</v>
      </c>
      <c r="U9" s="87">
        <v>19718070.820000004</v>
      </c>
      <c r="V9" s="26">
        <v>0.10000496942982279</v>
      </c>
      <c r="W9" s="87">
        <v>3621757.5300000003</v>
      </c>
      <c r="X9" s="26">
        <v>2.0657698027090405E-2</v>
      </c>
      <c r="Y9" s="26"/>
      <c r="Z9" s="87">
        <v>205814513.16999999</v>
      </c>
      <c r="AA9" s="87">
        <v>18244188.780000001</v>
      </c>
      <c r="AB9" s="26">
        <v>8.8643840023713727E-2</v>
      </c>
      <c r="AC9" s="87">
        <v>3433053.7200000007</v>
      </c>
      <c r="AD9" s="26">
        <v>1.6680328647010158E-2</v>
      </c>
      <c r="AE9" s="26"/>
      <c r="AF9" s="87">
        <v>222096955.73999998</v>
      </c>
      <c r="AG9" s="87">
        <v>19492575.310000066</v>
      </c>
      <c r="AH9" s="26">
        <v>8.7766062551614815E-2</v>
      </c>
      <c r="AI9" s="87">
        <v>2861051.3699999992</v>
      </c>
      <c r="AJ9" s="26">
        <v>1.288199273361188E-2</v>
      </c>
      <c r="AK9" s="26"/>
      <c r="AL9" s="91">
        <v>229760373.06</v>
      </c>
      <c r="AM9" s="91">
        <v>19771551.430000078</v>
      </c>
      <c r="AN9" s="84">
        <f t="shared" si="0"/>
        <v>8.6052921862365281E-2</v>
      </c>
      <c r="AO9" s="91">
        <v>2555312.4299999997</v>
      </c>
      <c r="AP9" s="84">
        <f t="shared" si="1"/>
        <v>1.1121641194988404E-2</v>
      </c>
      <c r="AQ9" s="159" t="str">
        <f t="shared" si="2"/>
        <v>OK</v>
      </c>
      <c r="AR9" s="285" t="s">
        <v>1</v>
      </c>
      <c r="AS9" s="288">
        <v>229760373.06</v>
      </c>
      <c r="AT9" s="288">
        <v>19771551.430000078</v>
      </c>
      <c r="AU9" s="222">
        <v>8.6052921862365281E-2</v>
      </c>
      <c r="AV9">
        <v>2555312.4299999997</v>
      </c>
      <c r="AW9" s="222">
        <v>1.1121641194988404E-2</v>
      </c>
    </row>
    <row r="10" spans="1:49" x14ac:dyDescent="0.25">
      <c r="A10" s="16" t="s">
        <v>2</v>
      </c>
      <c r="B10" s="35">
        <v>245659675</v>
      </c>
      <c r="C10" s="35">
        <v>14533608</v>
      </c>
      <c r="D10" s="26">
        <v>5.9161553478404627E-2</v>
      </c>
      <c r="E10" s="35">
        <v>4768616</v>
      </c>
      <c r="F10" s="26">
        <v>1.9411472395703528E-2</v>
      </c>
      <c r="G10" s="26"/>
      <c r="H10" s="35">
        <v>252072867.04000002</v>
      </c>
      <c r="I10" s="35">
        <v>15287884.270000003</v>
      </c>
      <c r="J10" s="26">
        <v>6.0648670559112793E-2</v>
      </c>
      <c r="K10" s="35">
        <v>5253451.17</v>
      </c>
      <c r="L10" s="26">
        <v>2.0841002174051361E-2</v>
      </c>
      <c r="M10" s="26"/>
      <c r="N10" s="35">
        <v>261337948.66000003</v>
      </c>
      <c r="O10" s="35">
        <v>13627511.07</v>
      </c>
      <c r="P10" s="26">
        <v>5.2145167358489355E-2</v>
      </c>
      <c r="Q10" s="35">
        <v>3770319.2999999993</v>
      </c>
      <c r="R10" s="26">
        <v>1.4426987428852803E-2</v>
      </c>
      <c r="S10" s="26"/>
      <c r="T10" s="87">
        <v>276517597.00999999</v>
      </c>
      <c r="U10" s="87">
        <v>14849705.91</v>
      </c>
      <c r="V10" s="26">
        <v>5.3702571086146733E-2</v>
      </c>
      <c r="W10" s="87">
        <v>3658315.43</v>
      </c>
      <c r="X10" s="26">
        <v>1.4512928237609496E-2</v>
      </c>
      <c r="Y10" s="26"/>
      <c r="Z10" s="87">
        <v>289788585.03999972</v>
      </c>
      <c r="AA10" s="87">
        <v>12251112.340000002</v>
      </c>
      <c r="AB10" s="26">
        <v>4.2276034918038517E-2</v>
      </c>
      <c r="AC10" s="87">
        <v>2580453.16</v>
      </c>
      <c r="AD10" s="26">
        <v>8.9046059548681614E-3</v>
      </c>
      <c r="AE10" s="26"/>
      <c r="AF10" s="87">
        <v>302789571.60999995</v>
      </c>
      <c r="AG10" s="87">
        <v>15394524.750000043</v>
      </c>
      <c r="AH10" s="26">
        <v>5.0842321511087411E-2</v>
      </c>
      <c r="AI10" s="87">
        <v>4493795.6499999948</v>
      </c>
      <c r="AJ10" s="26">
        <v>1.4841315789396171E-2</v>
      </c>
      <c r="AK10" s="26"/>
      <c r="AL10" s="91">
        <v>311895724.31</v>
      </c>
      <c r="AM10" s="91">
        <v>15257157.940000087</v>
      </c>
      <c r="AN10" s="84">
        <f t="shared" si="0"/>
        <v>4.8917496300255991E-2</v>
      </c>
      <c r="AO10" s="91">
        <v>4386916.5600000015</v>
      </c>
      <c r="AP10" s="84">
        <f t="shared" si="1"/>
        <v>1.4065330872056934E-2</v>
      </c>
      <c r="AQ10" s="159" t="str">
        <f t="shared" si="2"/>
        <v>OK</v>
      </c>
      <c r="AR10" s="289" t="s">
        <v>2</v>
      </c>
      <c r="AS10" s="288">
        <v>311895724.31</v>
      </c>
      <c r="AT10" s="288">
        <v>15257157.940000087</v>
      </c>
      <c r="AU10" s="222">
        <v>4.8917496300255991E-2</v>
      </c>
      <c r="AV10">
        <v>4386916.5600000015</v>
      </c>
      <c r="AW10" s="222">
        <v>1.4065330872056934E-2</v>
      </c>
    </row>
    <row r="11" spans="1:49" x14ac:dyDescent="0.25">
      <c r="A11" s="16" t="s">
        <v>3</v>
      </c>
      <c r="B11" s="35">
        <v>13383340</v>
      </c>
      <c r="C11" s="35">
        <v>1135699</v>
      </c>
      <c r="D11" s="26">
        <v>8.4859160717728158E-2</v>
      </c>
      <c r="E11" s="35">
        <v>101780</v>
      </c>
      <c r="F11" s="26">
        <v>7.6049775317671075E-3</v>
      </c>
      <c r="G11" s="26"/>
      <c r="H11" s="35">
        <v>14270982.710000001</v>
      </c>
      <c r="I11" s="35">
        <v>1074281.1300000001</v>
      </c>
      <c r="J11" s="26">
        <v>7.5277305833131372E-2</v>
      </c>
      <c r="K11" s="35">
        <v>88026.46</v>
      </c>
      <c r="L11" s="26">
        <v>6.1682129247005446E-3</v>
      </c>
      <c r="M11" s="26"/>
      <c r="N11" s="35">
        <v>14908986.080000002</v>
      </c>
      <c r="O11" s="35">
        <v>1308379.53</v>
      </c>
      <c r="P11" s="26">
        <v>8.7757780641780567E-2</v>
      </c>
      <c r="Q11" s="35">
        <v>226999.21000000002</v>
      </c>
      <c r="R11" s="26">
        <v>1.5225663823277242E-2</v>
      </c>
      <c r="S11" s="26"/>
      <c r="T11" s="87">
        <v>16985109.920000002</v>
      </c>
      <c r="U11" s="87">
        <v>2070858.76</v>
      </c>
      <c r="V11" s="26">
        <v>0.12192201108816844</v>
      </c>
      <c r="W11" s="87">
        <v>374717.75</v>
      </c>
      <c r="X11" s="26">
        <v>2.6257319318131245E-2</v>
      </c>
      <c r="Y11" s="26"/>
      <c r="Z11" s="87">
        <v>18654367.02</v>
      </c>
      <c r="AA11" s="87">
        <v>2395799.34</v>
      </c>
      <c r="AB11" s="26">
        <v>0.12843101765025741</v>
      </c>
      <c r="AC11" s="87">
        <v>650795.63</v>
      </c>
      <c r="AD11" s="26">
        <v>3.4887039013559627E-2</v>
      </c>
      <c r="AE11" s="26"/>
      <c r="AF11" s="87">
        <v>19389770.449999999</v>
      </c>
      <c r="AG11" s="87">
        <v>1522995.0799999989</v>
      </c>
      <c r="AH11" s="26">
        <v>7.854631822111123E-2</v>
      </c>
      <c r="AI11" s="87">
        <v>333366.76000000007</v>
      </c>
      <c r="AJ11" s="26">
        <v>1.7192919372596288E-2</v>
      </c>
      <c r="AK11" s="26"/>
      <c r="AL11" s="91">
        <v>19568974.52</v>
      </c>
      <c r="AM11" s="91">
        <v>2209772.760000003</v>
      </c>
      <c r="AN11" s="84">
        <f t="shared" si="0"/>
        <v>0.11292225649032135</v>
      </c>
      <c r="AO11" s="91">
        <v>712935.42999999982</v>
      </c>
      <c r="AP11" s="84">
        <f t="shared" si="1"/>
        <v>3.6431925917802248E-2</v>
      </c>
      <c r="AQ11" s="159" t="str">
        <f t="shared" si="2"/>
        <v>OK</v>
      </c>
      <c r="AR11" s="289" t="s">
        <v>3</v>
      </c>
      <c r="AS11" s="288">
        <v>19568974.52</v>
      </c>
      <c r="AT11" s="288">
        <v>2209772.760000003</v>
      </c>
      <c r="AU11" s="222">
        <v>0.11292225649032135</v>
      </c>
      <c r="AV11">
        <v>712935.42999999982</v>
      </c>
      <c r="AW11" s="222">
        <v>3.6431925917802248E-2</v>
      </c>
    </row>
    <row r="12" spans="1:49" x14ac:dyDescent="0.25">
      <c r="A12" s="16" t="s">
        <v>32</v>
      </c>
      <c r="B12" s="35">
        <v>18215748</v>
      </c>
      <c r="C12" s="35">
        <v>310097</v>
      </c>
      <c r="D12" s="26">
        <v>1.7023566641347916E-2</v>
      </c>
      <c r="E12" s="35">
        <v>211032</v>
      </c>
      <c r="F12" s="26">
        <v>1.1585140505896327E-2</v>
      </c>
      <c r="G12" s="26"/>
      <c r="H12" s="35">
        <v>19473959.650000002</v>
      </c>
      <c r="I12" s="35">
        <v>57798.6</v>
      </c>
      <c r="J12" s="26">
        <v>2.9679942363442244E-3</v>
      </c>
      <c r="K12" s="35">
        <v>7345</v>
      </c>
      <c r="L12" s="26">
        <v>3.7717034090701732E-4</v>
      </c>
      <c r="M12" s="26"/>
      <c r="N12" s="35">
        <v>20309420.260000002</v>
      </c>
      <c r="O12" s="35">
        <v>24437.48</v>
      </c>
      <c r="P12" s="26">
        <v>1.2032583740526721E-3</v>
      </c>
      <c r="Q12" s="35">
        <v>738.45999999999913</v>
      </c>
      <c r="R12" s="26">
        <v>3.6360466746282151E-5</v>
      </c>
      <c r="S12" s="26"/>
      <c r="T12" s="87">
        <v>21242056.77</v>
      </c>
      <c r="U12" s="87">
        <v>87179.709999999992</v>
      </c>
      <c r="V12" s="26">
        <v>4.1041087002047401E-3</v>
      </c>
      <c r="W12" s="87">
        <v>0</v>
      </c>
      <c r="X12" s="26">
        <v>0</v>
      </c>
      <c r="Y12" s="26"/>
      <c r="Z12" s="87">
        <v>21711226.879999999</v>
      </c>
      <c r="AA12" s="87">
        <v>51456.1</v>
      </c>
      <c r="AB12" s="26">
        <v>2.3700226746467493E-3</v>
      </c>
      <c r="AC12" s="87">
        <v>450</v>
      </c>
      <c r="AD12" s="26">
        <v>2.0726603912675802E-5</v>
      </c>
      <c r="AE12" s="26"/>
      <c r="AF12" s="87">
        <v>23600487.839999996</v>
      </c>
      <c r="AG12" s="87"/>
      <c r="AH12" s="26">
        <v>0</v>
      </c>
      <c r="AI12" s="87"/>
      <c r="AJ12" s="26">
        <v>0</v>
      </c>
      <c r="AK12" s="26"/>
      <c r="AL12" s="91">
        <v>24338992.120000001</v>
      </c>
      <c r="AM12" s="91">
        <v>34566.340000000004</v>
      </c>
      <c r="AN12" s="84">
        <f t="shared" si="0"/>
        <v>1.4202042479645621E-3</v>
      </c>
      <c r="AO12" s="91"/>
      <c r="AP12" s="84">
        <f t="shared" si="1"/>
        <v>0</v>
      </c>
      <c r="AQ12" s="159" t="str">
        <f t="shared" si="2"/>
        <v>No</v>
      </c>
      <c r="AR12" s="285" t="s">
        <v>379</v>
      </c>
      <c r="AS12" s="288">
        <v>24338992.120000001</v>
      </c>
      <c r="AT12" s="288">
        <v>34566.340000000004</v>
      </c>
      <c r="AU12" s="222">
        <v>1.4202042479645621E-3</v>
      </c>
      <c r="AW12" s="222">
        <v>0</v>
      </c>
    </row>
    <row r="13" spans="1:49" x14ac:dyDescent="0.25">
      <c r="A13" s="16" t="s">
        <v>22</v>
      </c>
      <c r="B13" s="35">
        <v>70188832</v>
      </c>
      <c r="C13" s="35">
        <v>1238839</v>
      </c>
      <c r="D13" s="26">
        <v>1.7650087124971677E-2</v>
      </c>
      <c r="E13" s="35">
        <v>-30031</v>
      </c>
      <c r="F13" s="26">
        <v>-4.2786009033459908E-4</v>
      </c>
      <c r="G13" s="26"/>
      <c r="H13" s="35">
        <v>72221941.600000009</v>
      </c>
      <c r="I13" s="35">
        <v>736065.43000000017</v>
      </c>
      <c r="J13" s="26">
        <v>1.0191714784915172E-2</v>
      </c>
      <c r="K13" s="35">
        <v>178064.8</v>
      </c>
      <c r="L13" s="26">
        <v>2.4655221952659323E-3</v>
      </c>
      <c r="M13" s="26"/>
      <c r="N13" s="35">
        <v>73986756.989999995</v>
      </c>
      <c r="O13" s="35">
        <v>318036.08000000007</v>
      </c>
      <c r="P13" s="26">
        <v>4.298554132369738E-3</v>
      </c>
      <c r="Q13" s="35">
        <v>35703.01</v>
      </c>
      <c r="R13" s="26">
        <v>4.8255946675464635E-4</v>
      </c>
      <c r="S13" s="26"/>
      <c r="T13" s="87">
        <v>73936116.529999986</v>
      </c>
      <c r="U13" s="87">
        <v>722030.58000000007</v>
      </c>
      <c r="V13" s="26">
        <v>9.7656005466155663E-3</v>
      </c>
      <c r="W13" s="87">
        <v>75399.97</v>
      </c>
      <c r="X13" s="26">
        <v>1.0440036411316861E-3</v>
      </c>
      <c r="Y13" s="26"/>
      <c r="Z13" s="87">
        <v>149054346.63</v>
      </c>
      <c r="AA13" s="87">
        <v>1294688.8900000004</v>
      </c>
      <c r="AB13" s="26">
        <v>8.6860190210610051E-3</v>
      </c>
      <c r="AC13" s="87">
        <v>326302.28000000003</v>
      </c>
      <c r="AD13" s="26">
        <v>2.1891497120173587E-3</v>
      </c>
      <c r="AE13" s="26"/>
      <c r="AF13" s="87">
        <v>165420646.14000008</v>
      </c>
      <c r="AG13" s="87">
        <v>1318445.74</v>
      </c>
      <c r="AH13" s="26">
        <v>7.9702610935527534E-3</v>
      </c>
      <c r="AI13" s="87">
        <v>391341.23999999993</v>
      </c>
      <c r="AJ13" s="26">
        <v>2.3657339584370685E-3</v>
      </c>
      <c r="AK13" s="26"/>
      <c r="AL13" s="91">
        <v>176683276.73999998</v>
      </c>
      <c r="AM13" s="91">
        <v>1819790.709999999</v>
      </c>
      <c r="AN13" s="84">
        <f t="shared" si="0"/>
        <v>1.0299733758492208E-2</v>
      </c>
      <c r="AO13" s="91">
        <v>535998.59000000008</v>
      </c>
      <c r="AP13" s="84">
        <f t="shared" si="1"/>
        <v>3.0336690596289659E-3</v>
      </c>
      <c r="AQ13" s="159" t="str">
        <f t="shared" si="2"/>
        <v>No</v>
      </c>
      <c r="AR13" s="287" t="s">
        <v>319</v>
      </c>
      <c r="AS13" s="288">
        <v>176683276.73999998</v>
      </c>
      <c r="AT13" s="288">
        <v>1819790.709999999</v>
      </c>
      <c r="AU13" s="222">
        <v>1.0299733758492208E-2</v>
      </c>
      <c r="AV13">
        <v>535998.59000000008</v>
      </c>
      <c r="AW13" s="222">
        <v>3.0336690596289659E-3</v>
      </c>
    </row>
    <row r="14" spans="1:49" x14ac:dyDescent="0.25">
      <c r="A14" s="16" t="s">
        <v>4</v>
      </c>
      <c r="B14" s="35">
        <v>40266832</v>
      </c>
      <c r="C14" s="35">
        <v>1258063</v>
      </c>
      <c r="D14" s="26">
        <v>3.1243158140675183E-2</v>
      </c>
      <c r="E14" s="35">
        <v>441488</v>
      </c>
      <c r="F14" s="26">
        <v>1.096406094226633E-2</v>
      </c>
      <c r="G14" s="26"/>
      <c r="H14" s="35">
        <v>42531568.030000001</v>
      </c>
      <c r="I14" s="35">
        <v>1246648.8299999998</v>
      </c>
      <c r="J14" s="26">
        <v>2.9311141999765106E-2</v>
      </c>
      <c r="K14" s="35">
        <v>286375.50999999995</v>
      </c>
      <c r="L14" s="26">
        <v>6.7332459926707283E-3</v>
      </c>
      <c r="M14" s="26"/>
      <c r="N14" s="35">
        <v>45802925.299999997</v>
      </c>
      <c r="O14" s="35">
        <v>1686189.36</v>
      </c>
      <c r="P14" s="26">
        <v>3.6814010217814629E-2</v>
      </c>
      <c r="Q14" s="35">
        <v>440944.69</v>
      </c>
      <c r="R14" s="26">
        <v>9.6269984310368931E-3</v>
      </c>
      <c r="S14" s="26"/>
      <c r="T14" s="87">
        <v>47273301.709999993</v>
      </c>
      <c r="U14" s="87">
        <v>1458583.32</v>
      </c>
      <c r="V14" s="26">
        <v>3.0854272226377148E-2</v>
      </c>
      <c r="W14" s="87">
        <v>154243.96</v>
      </c>
      <c r="X14" s="26">
        <v>3.6265759092446981E-3</v>
      </c>
      <c r="Y14" s="26"/>
      <c r="Z14" s="87">
        <v>50222916.100000009</v>
      </c>
      <c r="AA14" s="87">
        <v>802844.45999999985</v>
      </c>
      <c r="AB14" s="26">
        <v>1.5985620157966091E-2</v>
      </c>
      <c r="AC14" s="87">
        <v>95101.640000000014</v>
      </c>
      <c r="AD14" s="26">
        <v>1.8935905635316145E-3</v>
      </c>
      <c r="AE14" s="26"/>
      <c r="AF14" s="87">
        <v>54460374.409999996</v>
      </c>
      <c r="AG14" s="87">
        <v>991236.73000000184</v>
      </c>
      <c r="AH14" s="26">
        <v>1.8201063447297772E-2</v>
      </c>
      <c r="AI14" s="87">
        <v>138088.62</v>
      </c>
      <c r="AJ14" s="26">
        <v>2.5355797035182376E-3</v>
      </c>
      <c r="AK14" s="26"/>
      <c r="AL14" s="91">
        <v>60242660.319999993</v>
      </c>
      <c r="AM14" s="91">
        <v>3401283.8300000019</v>
      </c>
      <c r="AN14" s="84">
        <f t="shared" si="0"/>
        <v>5.6459721598164682E-2</v>
      </c>
      <c r="AO14" s="91">
        <v>563903.99000000011</v>
      </c>
      <c r="AP14" s="84">
        <f t="shared" si="1"/>
        <v>9.3605426288385432E-3</v>
      </c>
      <c r="AQ14" s="159" t="str">
        <f t="shared" si="2"/>
        <v>OK</v>
      </c>
      <c r="AR14" s="289" t="s">
        <v>4</v>
      </c>
      <c r="AS14" s="288">
        <v>60242660.319999993</v>
      </c>
      <c r="AT14" s="288">
        <v>3401283.8300000019</v>
      </c>
      <c r="AU14" s="222">
        <v>5.6459721598164682E-2</v>
      </c>
      <c r="AV14">
        <v>563903.99000000011</v>
      </c>
      <c r="AW14" s="222">
        <v>9.3605426288385432E-3</v>
      </c>
    </row>
    <row r="15" spans="1:49" x14ac:dyDescent="0.25">
      <c r="A15" s="16" t="s">
        <v>27</v>
      </c>
      <c r="B15" s="35">
        <v>109217666</v>
      </c>
      <c r="C15" s="35">
        <v>565348</v>
      </c>
      <c r="D15" s="26">
        <v>5.1763420763816723E-3</v>
      </c>
      <c r="E15" s="35">
        <v>160383</v>
      </c>
      <c r="F15" s="26">
        <v>1.4684712269899633E-3</v>
      </c>
      <c r="G15" s="26"/>
      <c r="H15" s="35">
        <v>109890101.61000004</v>
      </c>
      <c r="I15" s="35">
        <v>130140.02</v>
      </c>
      <c r="J15" s="26">
        <v>1.1842742712338816E-3</v>
      </c>
      <c r="K15" s="35">
        <v>28691.74</v>
      </c>
      <c r="L15" s="26">
        <v>2.6109485367323601E-4</v>
      </c>
      <c r="M15" s="26"/>
      <c r="N15" s="35">
        <v>110570502.86</v>
      </c>
      <c r="O15" s="35">
        <v>268325.40000000002</v>
      </c>
      <c r="P15" s="26">
        <v>2.4267358206712963E-3</v>
      </c>
      <c r="Q15" s="35">
        <v>100848.97999999998</v>
      </c>
      <c r="R15" s="26">
        <v>9.1207851453557168E-4</v>
      </c>
      <c r="S15" s="26"/>
      <c r="T15" s="87">
        <v>114691866.56999999</v>
      </c>
      <c r="U15" s="87">
        <v>130226.99</v>
      </c>
      <c r="V15" s="26">
        <v>1.1354509599904232E-3</v>
      </c>
      <c r="W15" s="87">
        <v>40349.089999999997</v>
      </c>
      <c r="X15" s="26">
        <v>3.6717674666640051E-4</v>
      </c>
      <c r="Y15" s="26"/>
      <c r="Z15" s="87">
        <v>118899107.73999998</v>
      </c>
      <c r="AA15" s="87">
        <v>524275.14999999997</v>
      </c>
      <c r="AB15" s="26">
        <v>4.4094119793266001E-3</v>
      </c>
      <c r="AC15" s="87">
        <v>164854</v>
      </c>
      <c r="AD15" s="26">
        <v>1.3865032558569815E-3</v>
      </c>
      <c r="AE15" s="26"/>
      <c r="AF15" s="87">
        <v>122507200.63000001</v>
      </c>
      <c r="AG15" s="87">
        <v>60823.760000000009</v>
      </c>
      <c r="AH15" s="26">
        <v>4.9649130571272938E-4</v>
      </c>
      <c r="AI15" s="87">
        <v>10739.130000000001</v>
      </c>
      <c r="AJ15" s="26">
        <v>8.7661214563498601E-5</v>
      </c>
      <c r="AK15" s="26"/>
      <c r="AL15" s="91">
        <v>124524137.10999997</v>
      </c>
      <c r="AM15" s="91">
        <v>111959.09000000001</v>
      </c>
      <c r="AN15" s="84">
        <f t="shared" si="0"/>
        <v>8.9909548942386595E-4</v>
      </c>
      <c r="AO15" s="91">
        <v>12500</v>
      </c>
      <c r="AP15" s="84">
        <f t="shared" si="1"/>
        <v>1.0038214510137875E-4</v>
      </c>
      <c r="AQ15" s="159" t="str">
        <f t="shared" si="2"/>
        <v>OK</v>
      </c>
      <c r="AR15" s="289" t="s">
        <v>27</v>
      </c>
      <c r="AS15" s="290">
        <v>124524137.10999997</v>
      </c>
      <c r="AT15" s="290">
        <v>111959.09000000001</v>
      </c>
      <c r="AU15" s="222">
        <v>8.9909548942386595E-4</v>
      </c>
      <c r="AV15">
        <v>12500</v>
      </c>
      <c r="AW15" s="222">
        <v>1.0038214510137875E-4</v>
      </c>
    </row>
    <row r="16" spans="1:49" x14ac:dyDescent="0.25">
      <c r="A16" s="16" t="s">
        <v>28</v>
      </c>
      <c r="B16" s="35">
        <v>26744823</v>
      </c>
      <c r="C16" s="35">
        <v>56197</v>
      </c>
      <c r="D16" s="26">
        <v>2.1012290864665657E-3</v>
      </c>
      <c r="E16" s="35">
        <v>6933</v>
      </c>
      <c r="F16" s="26">
        <v>2.5922773914039364E-4</v>
      </c>
      <c r="G16" s="26"/>
      <c r="H16" s="35">
        <v>25147196.75</v>
      </c>
      <c r="I16" s="35">
        <v>55510.43</v>
      </c>
      <c r="J16" s="26">
        <v>2.2074201968455987E-3</v>
      </c>
      <c r="K16" s="35">
        <v>0</v>
      </c>
      <c r="L16" s="26">
        <v>0</v>
      </c>
      <c r="M16" s="26"/>
      <c r="N16" s="35">
        <v>23440943.269999996</v>
      </c>
      <c r="O16" s="35">
        <v>4007.98</v>
      </c>
      <c r="P16" s="26">
        <v>1.7098202720918068E-4</v>
      </c>
      <c r="Q16" s="35">
        <v>0</v>
      </c>
      <c r="R16" s="26">
        <v>0</v>
      </c>
      <c r="S16" s="26"/>
      <c r="T16" s="87">
        <v>23570841.099999998</v>
      </c>
      <c r="U16" s="87">
        <v>257545.45</v>
      </c>
      <c r="V16" s="26">
        <v>1.092644292612876E-2</v>
      </c>
      <c r="W16" s="87">
        <v>4044.82</v>
      </c>
      <c r="X16" s="26">
        <v>1.6084576106877599E-4</v>
      </c>
      <c r="Y16" s="26"/>
      <c r="Z16" s="87">
        <v>25574825.060000002</v>
      </c>
      <c r="AA16" s="87">
        <v>270421.46999999997</v>
      </c>
      <c r="AB16" s="26">
        <v>1.0573736843383121E-2</v>
      </c>
      <c r="AC16" s="87">
        <v>89670.47</v>
      </c>
      <c r="AD16" s="26">
        <v>3.5062007184654422E-3</v>
      </c>
      <c r="AE16" s="26"/>
      <c r="AF16" s="87">
        <v>26491684.270000003</v>
      </c>
      <c r="AG16" s="87">
        <v>194605.10999999996</v>
      </c>
      <c r="AH16" s="26">
        <v>7.3458942065218842E-3</v>
      </c>
      <c r="AI16" s="87">
        <v>1961.54</v>
      </c>
      <c r="AJ16" s="26">
        <v>7.4043612327861995E-5</v>
      </c>
      <c r="AK16" s="26"/>
      <c r="AL16" s="91">
        <v>28068239.200000007</v>
      </c>
      <c r="AM16" s="91">
        <v>160130.60999999999</v>
      </c>
      <c r="AN16" s="84">
        <f t="shared" si="0"/>
        <v>5.7050465068004671E-3</v>
      </c>
      <c r="AO16" s="91">
        <v>50074.54</v>
      </c>
      <c r="AP16" s="84">
        <f t="shared" si="1"/>
        <v>1.7840285471131367E-3</v>
      </c>
      <c r="AQ16" s="159" t="str">
        <f t="shared" si="2"/>
        <v>OK</v>
      </c>
      <c r="AR16" s="289" t="s">
        <v>28</v>
      </c>
      <c r="AS16" s="290">
        <v>28068239.200000007</v>
      </c>
      <c r="AT16" s="290">
        <v>160130.60999999999</v>
      </c>
      <c r="AU16" s="222">
        <v>5.7050465068004671E-3</v>
      </c>
      <c r="AV16">
        <v>50074.54</v>
      </c>
      <c r="AW16" s="222">
        <v>1.7840285471131367E-3</v>
      </c>
    </row>
    <row r="17" spans="1:49" x14ac:dyDescent="0.25">
      <c r="A17" s="16" t="s">
        <v>5</v>
      </c>
      <c r="B17" s="35">
        <v>9116725</v>
      </c>
      <c r="C17" s="35">
        <v>357406</v>
      </c>
      <c r="D17" s="26">
        <v>3.9203332336996015E-2</v>
      </c>
      <c r="E17" s="35">
        <v>73058</v>
      </c>
      <c r="F17" s="26">
        <v>8.01362331319635E-3</v>
      </c>
      <c r="G17" s="26"/>
      <c r="H17" s="35">
        <v>8418788.9800000004</v>
      </c>
      <c r="I17" s="35">
        <v>708369.8</v>
      </c>
      <c r="J17" s="26">
        <v>8.4141531719446896E-2</v>
      </c>
      <c r="K17" s="35">
        <v>249181.60000000003</v>
      </c>
      <c r="L17" s="26">
        <v>2.9598271270602629E-2</v>
      </c>
      <c r="M17" s="26"/>
      <c r="N17" s="35">
        <v>9445595.6899999995</v>
      </c>
      <c r="O17" s="35">
        <v>622992.91999999993</v>
      </c>
      <c r="P17" s="26">
        <v>6.5955916434106865E-2</v>
      </c>
      <c r="Q17" s="35">
        <v>114858.71</v>
      </c>
      <c r="R17" s="26">
        <v>1.2160028204637246E-2</v>
      </c>
      <c r="S17" s="26"/>
      <c r="T17" s="87">
        <v>9417455.3699999992</v>
      </c>
      <c r="U17" s="87">
        <v>762496.5</v>
      </c>
      <c r="V17" s="26">
        <v>8.0966298224145458E-2</v>
      </c>
      <c r="W17" s="87">
        <v>226506.08000000002</v>
      </c>
      <c r="X17" s="26">
        <v>2.6904829250156595E-2</v>
      </c>
      <c r="Y17" s="26"/>
      <c r="Z17" s="87">
        <v>10825163.309999999</v>
      </c>
      <c r="AA17" s="87">
        <v>933484.6</v>
      </c>
      <c r="AB17" s="26">
        <v>8.6232842246146219E-2</v>
      </c>
      <c r="AC17" s="87">
        <v>328916.32</v>
      </c>
      <c r="AD17" s="26">
        <v>3.038442105498361E-2</v>
      </c>
      <c r="AE17" s="26"/>
      <c r="AF17" s="87">
        <v>12864556.399999997</v>
      </c>
      <c r="AG17" s="87">
        <v>1543881.4399999995</v>
      </c>
      <c r="AH17" s="26">
        <v>0.12001046845268601</v>
      </c>
      <c r="AI17" s="87">
        <v>375578.49</v>
      </c>
      <c r="AJ17" s="26">
        <v>2.9194826336957882E-2</v>
      </c>
      <c r="AK17" s="26"/>
      <c r="AL17" s="91">
        <v>13899776.240000002</v>
      </c>
      <c r="AM17" s="91">
        <v>1058452.6100000006</v>
      </c>
      <c r="AN17" s="84">
        <f t="shared" si="0"/>
        <v>7.6148895617041995E-2</v>
      </c>
      <c r="AO17" s="91">
        <v>291706.2300000001</v>
      </c>
      <c r="AP17" s="84">
        <f t="shared" si="1"/>
        <v>2.098639754793636E-2</v>
      </c>
      <c r="AQ17" s="159" t="str">
        <f t="shared" si="2"/>
        <v>OK</v>
      </c>
      <c r="AR17" s="289" t="s">
        <v>5</v>
      </c>
      <c r="AS17" s="288">
        <v>13899776.240000002</v>
      </c>
      <c r="AT17" s="288">
        <v>1058452.6100000006</v>
      </c>
      <c r="AU17" s="222">
        <v>7.6148895617041995E-2</v>
      </c>
      <c r="AV17">
        <v>291706.2300000001</v>
      </c>
      <c r="AW17" s="222">
        <v>2.098639754793636E-2</v>
      </c>
    </row>
    <row r="18" spans="1:49" x14ac:dyDescent="0.25">
      <c r="A18" s="16" t="s">
        <v>21</v>
      </c>
      <c r="B18" s="35">
        <v>989792249</v>
      </c>
      <c r="C18" s="35">
        <v>15067194</v>
      </c>
      <c r="D18" s="26">
        <v>1.5222582330001656E-2</v>
      </c>
      <c r="E18" s="35">
        <v>5314862</v>
      </c>
      <c r="F18" s="26">
        <v>5.369674298186993E-3</v>
      </c>
      <c r="G18" s="26"/>
      <c r="H18" s="35">
        <v>1039187385.7600005</v>
      </c>
      <c r="I18" s="35">
        <v>8633053.8899999987</v>
      </c>
      <c r="J18" s="26">
        <v>8.3075045062121228E-3</v>
      </c>
      <c r="K18" s="35">
        <v>1818641.4600000011</v>
      </c>
      <c r="L18" s="26">
        <v>1.7500611390408225E-3</v>
      </c>
      <c r="M18" s="26"/>
      <c r="N18" s="35">
        <v>1093453944.8199995</v>
      </c>
      <c r="O18" s="35">
        <v>12297799.240000002</v>
      </c>
      <c r="P18" s="26">
        <v>1.1246746420604319E-2</v>
      </c>
      <c r="Q18" s="35">
        <v>3849100.0699999994</v>
      </c>
      <c r="R18" s="26">
        <v>3.5201300322105699E-3</v>
      </c>
      <c r="S18" s="26"/>
      <c r="T18" s="87">
        <v>1170278019.6299994</v>
      </c>
      <c r="U18" s="87">
        <v>9776118.8000000045</v>
      </c>
      <c r="V18" s="26">
        <v>8.3536720642594549E-3</v>
      </c>
      <c r="W18" s="87">
        <v>2828568.3199999984</v>
      </c>
      <c r="X18" s="26">
        <v>2.7219040172734104E-3</v>
      </c>
      <c r="Y18" s="26"/>
      <c r="Z18" s="87">
        <v>1215427846.4300005</v>
      </c>
      <c r="AA18" s="87">
        <v>10078936.990000008</v>
      </c>
      <c r="AB18" s="26">
        <v>8.2925012945887604E-3</v>
      </c>
      <c r="AC18" s="87">
        <v>2527895.6799999969</v>
      </c>
      <c r="AD18" s="26">
        <v>2.0798401874903764E-3</v>
      </c>
      <c r="AE18" s="26"/>
      <c r="AF18" s="87">
        <v>1291654351.3300014</v>
      </c>
      <c r="AG18" s="87">
        <v>11979959.890000002</v>
      </c>
      <c r="AH18" s="26">
        <v>9.2748960878460858E-3</v>
      </c>
      <c r="AI18" s="87">
        <v>3588848.0599999991</v>
      </c>
      <c r="AJ18" s="26">
        <v>2.7784895055744628E-3</v>
      </c>
      <c r="AK18" s="26"/>
      <c r="AL18" s="91">
        <v>1387625753.710001</v>
      </c>
      <c r="AM18" s="91">
        <v>9045609.0300000124</v>
      </c>
      <c r="AN18" s="84">
        <f t="shared" si="0"/>
        <v>6.5187670420611471E-3</v>
      </c>
      <c r="AO18" s="91">
        <v>2118539.5300000007</v>
      </c>
      <c r="AP18" s="84">
        <f t="shared" si="1"/>
        <v>1.5267369637208051E-3</v>
      </c>
      <c r="AQ18" s="159" t="str">
        <f t="shared" si="2"/>
        <v>OK</v>
      </c>
      <c r="AR18" s="289" t="s">
        <v>21</v>
      </c>
      <c r="AS18" s="288">
        <v>1387625753.710001</v>
      </c>
      <c r="AT18" s="288">
        <v>9045609.0300000124</v>
      </c>
      <c r="AU18" s="222">
        <v>6.5187670420611471E-3</v>
      </c>
      <c r="AV18">
        <v>2118539.5300000007</v>
      </c>
      <c r="AW18" s="222">
        <v>1.5267369637208051E-3</v>
      </c>
    </row>
    <row r="19" spans="1:49" x14ac:dyDescent="0.25">
      <c r="A19" s="16" t="s">
        <v>7</v>
      </c>
      <c r="B19" s="35">
        <v>59044502</v>
      </c>
      <c r="C19" s="35">
        <v>6396493</v>
      </c>
      <c r="D19" s="26">
        <v>0.10833342281386335</v>
      </c>
      <c r="E19" s="35">
        <v>251552</v>
      </c>
      <c r="F19" s="26">
        <v>4.2603797386588172E-3</v>
      </c>
      <c r="G19" s="26"/>
      <c r="H19" s="35">
        <v>59293588.489999987</v>
      </c>
      <c r="I19" s="35">
        <v>4886190.8200000022</v>
      </c>
      <c r="J19" s="26">
        <v>8.2406731392620475E-2</v>
      </c>
      <c r="K19" s="35">
        <v>129571.74000000002</v>
      </c>
      <c r="L19" s="26">
        <v>2.1852571804091875E-3</v>
      </c>
      <c r="M19" s="26"/>
      <c r="N19" s="35">
        <v>60057144.370000012</v>
      </c>
      <c r="O19" s="35">
        <v>4389308.8199999994</v>
      </c>
      <c r="P19" s="26">
        <v>7.3085539881123027E-2</v>
      </c>
      <c r="Q19" s="35">
        <v>149674.48000000001</v>
      </c>
      <c r="R19" s="26">
        <v>2.4922010789904625E-3</v>
      </c>
      <c r="S19" s="26"/>
      <c r="T19" s="87">
        <v>65173905.409999996</v>
      </c>
      <c r="U19" s="87">
        <v>5107092.92</v>
      </c>
      <c r="V19" s="26">
        <v>7.8361007950528472E-2</v>
      </c>
      <c r="W19" s="87">
        <v>300133.38</v>
      </c>
      <c r="X19" s="26">
        <v>5.0618184468733621E-3</v>
      </c>
      <c r="Y19" s="26"/>
      <c r="Z19" s="87">
        <v>66591627.350000001</v>
      </c>
      <c r="AA19" s="87">
        <v>5473898.6599999992</v>
      </c>
      <c r="AB19" s="26">
        <v>8.2201004508114017E-2</v>
      </c>
      <c r="AC19" s="87">
        <v>140232.21</v>
      </c>
      <c r="AD19" s="26">
        <v>2.1058534770888129E-3</v>
      </c>
      <c r="AE19" s="26"/>
      <c r="AF19" s="87">
        <v>66000395.159999996</v>
      </c>
      <c r="AG19" s="87">
        <v>6686201.980000006</v>
      </c>
      <c r="AH19" s="26">
        <v>0.10130548406249885</v>
      </c>
      <c r="AI19" s="87">
        <v>140007.91999999995</v>
      </c>
      <c r="AJ19" s="26">
        <v>2.1213194202942096E-3</v>
      </c>
      <c r="AK19" s="26"/>
      <c r="AL19" s="91">
        <v>65678538.950000025</v>
      </c>
      <c r="AM19" s="91">
        <v>6395936.8599999901</v>
      </c>
      <c r="AN19" s="84">
        <f t="shared" si="0"/>
        <v>9.7382447329851685E-2</v>
      </c>
      <c r="AO19" s="91">
        <v>237775.93999999997</v>
      </c>
      <c r="AP19" s="84">
        <f t="shared" si="1"/>
        <v>3.6202988647633413E-3</v>
      </c>
      <c r="AQ19" s="159" t="str">
        <f t="shared" si="2"/>
        <v>OK</v>
      </c>
      <c r="AR19" s="289" t="s">
        <v>7</v>
      </c>
      <c r="AS19" s="288">
        <v>65678538.950000025</v>
      </c>
      <c r="AT19" s="288">
        <v>6395936.8599999901</v>
      </c>
      <c r="AU19" s="222">
        <v>9.7382447329851685E-2</v>
      </c>
      <c r="AV19">
        <v>237775.93999999997</v>
      </c>
      <c r="AW19" s="222">
        <v>3.6202988647633413E-3</v>
      </c>
    </row>
    <row r="20" spans="1:49" x14ac:dyDescent="0.25">
      <c r="A20" s="16" t="s">
        <v>6</v>
      </c>
      <c r="B20" s="35">
        <v>3300712</v>
      </c>
      <c r="C20" s="35">
        <v>0</v>
      </c>
      <c r="D20" s="26">
        <v>0</v>
      </c>
      <c r="E20" s="35">
        <v>0</v>
      </c>
      <c r="F20" s="26">
        <v>0</v>
      </c>
      <c r="G20" s="26"/>
      <c r="H20" s="35">
        <v>3324191.79</v>
      </c>
      <c r="I20" s="35">
        <v>0</v>
      </c>
      <c r="J20" s="26">
        <v>0</v>
      </c>
      <c r="K20" s="35">
        <v>0</v>
      </c>
      <c r="L20" s="26">
        <v>0</v>
      </c>
      <c r="M20" s="26"/>
      <c r="N20" s="35">
        <v>3325171.04</v>
      </c>
      <c r="O20" s="35">
        <v>0</v>
      </c>
      <c r="P20" s="26">
        <v>0</v>
      </c>
      <c r="Q20" s="35">
        <v>0</v>
      </c>
      <c r="R20" s="26">
        <v>0</v>
      </c>
      <c r="S20" s="26"/>
      <c r="T20" s="87">
        <v>3323099.85</v>
      </c>
      <c r="U20" s="87">
        <v>0</v>
      </c>
      <c r="V20" s="26">
        <v>0</v>
      </c>
      <c r="W20" s="87">
        <v>0</v>
      </c>
      <c r="X20" s="26">
        <v>0</v>
      </c>
      <c r="Y20" s="26"/>
      <c r="Z20" s="87">
        <v>3413273.58</v>
      </c>
      <c r="AA20" s="87">
        <v>2307.69</v>
      </c>
      <c r="AB20" s="26">
        <v>6.7609289027456164E-4</v>
      </c>
      <c r="AC20" s="87">
        <v>0</v>
      </c>
      <c r="AD20" s="26">
        <v>0</v>
      </c>
      <c r="AE20" s="26"/>
      <c r="AF20" s="87">
        <v>3482017.8</v>
      </c>
      <c r="AG20" s="87"/>
      <c r="AH20" s="26">
        <v>0</v>
      </c>
      <c r="AI20" s="87"/>
      <c r="AJ20" s="26">
        <v>0</v>
      </c>
      <c r="AK20" s="26"/>
      <c r="AL20" s="91">
        <v>3519519.91</v>
      </c>
      <c r="AM20" s="91"/>
      <c r="AN20" s="84">
        <f t="shared" si="0"/>
        <v>0</v>
      </c>
      <c r="AO20" s="91"/>
      <c r="AP20" s="84">
        <f t="shared" si="1"/>
        <v>0</v>
      </c>
      <c r="AQ20" s="159" t="str">
        <f t="shared" si="2"/>
        <v>OK</v>
      </c>
      <c r="AR20" s="287" t="s">
        <v>6</v>
      </c>
      <c r="AS20" s="288">
        <v>3519519.91</v>
      </c>
      <c r="AT20" s="288"/>
      <c r="AU20" s="222">
        <v>0</v>
      </c>
      <c r="AW20" s="222">
        <v>0</v>
      </c>
    </row>
    <row r="21" spans="1:49" x14ac:dyDescent="0.25">
      <c r="A21" s="16" t="s">
        <v>29</v>
      </c>
      <c r="B21" s="35">
        <v>5226806</v>
      </c>
      <c r="C21" s="35">
        <v>42500</v>
      </c>
      <c r="D21" s="26">
        <v>8.1311607892085528E-3</v>
      </c>
      <c r="E21" s="35">
        <v>0</v>
      </c>
      <c r="F21" s="26">
        <v>0</v>
      </c>
      <c r="G21" s="26"/>
      <c r="H21" s="35">
        <v>5661817.8399999999</v>
      </c>
      <c r="I21" s="35">
        <v>0</v>
      </c>
      <c r="J21" s="26">
        <v>0</v>
      </c>
      <c r="K21" s="35">
        <v>0</v>
      </c>
      <c r="L21" s="26">
        <v>0</v>
      </c>
      <c r="M21" s="26"/>
      <c r="N21" s="35">
        <v>6175357.3300000001</v>
      </c>
      <c r="O21" s="35">
        <v>0</v>
      </c>
      <c r="P21" s="26">
        <v>0</v>
      </c>
      <c r="Q21" s="35">
        <v>0</v>
      </c>
      <c r="R21" s="26">
        <v>0</v>
      </c>
      <c r="S21" s="26"/>
      <c r="T21" s="87">
        <v>6295341.6500000004</v>
      </c>
      <c r="U21" s="87">
        <v>0</v>
      </c>
      <c r="V21" s="26">
        <v>0</v>
      </c>
      <c r="W21" s="87">
        <v>0</v>
      </c>
      <c r="X21" s="26">
        <v>0</v>
      </c>
      <c r="Y21" s="26"/>
      <c r="Z21" s="87">
        <v>8689121.5999999996</v>
      </c>
      <c r="AA21" s="87">
        <v>0</v>
      </c>
      <c r="AB21" s="26">
        <v>0</v>
      </c>
      <c r="AC21" s="87">
        <v>0</v>
      </c>
      <c r="AD21" s="26">
        <v>0</v>
      </c>
      <c r="AE21" s="26"/>
      <c r="AF21" s="87">
        <v>9099382.5500000007</v>
      </c>
      <c r="AG21" s="87"/>
      <c r="AH21" s="26">
        <v>0</v>
      </c>
      <c r="AI21" s="87"/>
      <c r="AJ21" s="26">
        <v>0</v>
      </c>
      <c r="AK21" s="26"/>
      <c r="AL21" s="91">
        <v>9010995.2400000002</v>
      </c>
      <c r="AM21" s="91">
        <v>2624464.7799999998</v>
      </c>
      <c r="AN21" s="84">
        <f t="shared" si="0"/>
        <v>0.29125137791105965</v>
      </c>
      <c r="AO21" s="91"/>
      <c r="AP21" s="84">
        <f t="shared" si="1"/>
        <v>0</v>
      </c>
      <c r="AQ21" s="159" t="str">
        <f t="shared" si="2"/>
        <v>OK</v>
      </c>
      <c r="AR21" s="289" t="s">
        <v>29</v>
      </c>
      <c r="AS21" s="290">
        <v>9010995.2400000002</v>
      </c>
      <c r="AT21" s="290">
        <v>2624464.7799999998</v>
      </c>
      <c r="AU21" s="222">
        <v>0.29125137791105965</v>
      </c>
      <c r="AW21" s="222">
        <v>0</v>
      </c>
    </row>
    <row r="22" spans="1:49" x14ac:dyDescent="0.25">
      <c r="A22" s="16" t="s">
        <v>8</v>
      </c>
      <c r="B22" s="35">
        <v>34535388</v>
      </c>
      <c r="C22" s="35">
        <v>968466</v>
      </c>
      <c r="D22" s="26">
        <v>2.8042713752050506E-2</v>
      </c>
      <c r="E22" s="35">
        <v>399412</v>
      </c>
      <c r="F22" s="26">
        <v>1.1565296443173015E-2</v>
      </c>
      <c r="G22" s="26"/>
      <c r="H22" s="35">
        <v>33951734.329999998</v>
      </c>
      <c r="I22" s="35">
        <v>1325999.43</v>
      </c>
      <c r="J22" s="26">
        <v>3.9055425478760807E-2</v>
      </c>
      <c r="K22" s="35">
        <v>750437.61</v>
      </c>
      <c r="L22" s="26">
        <v>2.2103071457439741E-2</v>
      </c>
      <c r="M22" s="26"/>
      <c r="N22" s="35">
        <v>34176897.669999994</v>
      </c>
      <c r="O22" s="35">
        <v>1559840.79</v>
      </c>
      <c r="P22" s="26">
        <v>4.5640210093416601E-2</v>
      </c>
      <c r="Q22" s="35">
        <v>713938.97</v>
      </c>
      <c r="R22" s="26">
        <v>2.0889519490433026E-2</v>
      </c>
      <c r="S22" s="26"/>
      <c r="T22" s="87">
        <v>34109595.18</v>
      </c>
      <c r="U22" s="87">
        <v>1630692.81</v>
      </c>
      <c r="V22" s="26">
        <v>4.7807451287377019E-2</v>
      </c>
      <c r="W22" s="87">
        <v>526001.48</v>
      </c>
      <c r="X22" s="26">
        <v>1.549262476218251E-2</v>
      </c>
      <c r="Y22" s="26"/>
      <c r="Z22" s="87">
        <v>34062344.600000001</v>
      </c>
      <c r="AA22" s="87">
        <v>1939676.54</v>
      </c>
      <c r="AB22" s="26">
        <v>5.6944892161063979E-2</v>
      </c>
      <c r="AC22" s="87">
        <v>280512.86</v>
      </c>
      <c r="AD22" s="26">
        <v>8.2352774976036137E-3</v>
      </c>
      <c r="AE22" s="26"/>
      <c r="AF22" s="87">
        <v>34471149.43</v>
      </c>
      <c r="AG22" s="87">
        <v>282762.59000000003</v>
      </c>
      <c r="AH22" s="26">
        <v>8.202876744049438E-3</v>
      </c>
      <c r="AI22" s="87">
        <v>22628.78</v>
      </c>
      <c r="AJ22" s="26">
        <v>6.5645562663791909E-4</v>
      </c>
      <c r="AK22" s="26"/>
      <c r="AL22" s="91">
        <v>35343121.579999998</v>
      </c>
      <c r="AM22" s="91">
        <v>1645757.1599999995</v>
      </c>
      <c r="AN22" s="84">
        <f t="shared" si="0"/>
        <v>4.6565133084659455E-2</v>
      </c>
      <c r="AO22" s="91">
        <v>322587.24999999994</v>
      </c>
      <c r="AP22" s="84">
        <f t="shared" si="1"/>
        <v>9.1272993323415416E-3</v>
      </c>
      <c r="AQ22" s="159" t="str">
        <f t="shared" si="2"/>
        <v>OK</v>
      </c>
      <c r="AR22" s="289" t="s">
        <v>8</v>
      </c>
      <c r="AS22" s="288">
        <v>35343121.579999998</v>
      </c>
      <c r="AT22" s="288">
        <v>1645757.1599999995</v>
      </c>
      <c r="AU22" s="222">
        <v>4.6565133084659455E-2</v>
      </c>
      <c r="AV22">
        <v>322587.24999999994</v>
      </c>
      <c r="AW22" s="222">
        <v>9.1272993323415416E-3</v>
      </c>
    </row>
    <row r="23" spans="1:49" x14ac:dyDescent="0.25">
      <c r="A23" s="16" t="s">
        <v>9</v>
      </c>
      <c r="B23" s="35">
        <v>12217534</v>
      </c>
      <c r="C23" s="35">
        <v>1496499</v>
      </c>
      <c r="D23" s="26">
        <v>0.12248781137011773</v>
      </c>
      <c r="E23" s="35">
        <v>387603</v>
      </c>
      <c r="F23" s="26">
        <v>3.1725141914890516E-2</v>
      </c>
      <c r="G23" s="26"/>
      <c r="H23" s="35">
        <v>11798025.34</v>
      </c>
      <c r="I23" s="35">
        <v>1967916.72</v>
      </c>
      <c r="J23" s="26">
        <v>0.16680051646676664</v>
      </c>
      <c r="K23" s="35">
        <v>757140.2300000001</v>
      </c>
      <c r="L23" s="26">
        <v>6.4175165604450218E-2</v>
      </c>
      <c r="M23" s="26"/>
      <c r="N23" s="35">
        <v>11631733.07</v>
      </c>
      <c r="O23" s="35">
        <v>1182690.33</v>
      </c>
      <c r="P23" s="26">
        <v>0.10167791187113272</v>
      </c>
      <c r="Q23" s="35">
        <v>245007.8</v>
      </c>
      <c r="R23" s="26">
        <v>2.1063739902346296E-2</v>
      </c>
      <c r="S23" s="26"/>
      <c r="T23" s="87">
        <v>13161719.43</v>
      </c>
      <c r="U23" s="87">
        <v>1588520.07</v>
      </c>
      <c r="V23" s="26">
        <v>0.12069244284141377</v>
      </c>
      <c r="W23" s="87">
        <v>287059.18</v>
      </c>
      <c r="X23" s="26">
        <v>2.4331120821274657E-2</v>
      </c>
      <c r="Y23" s="26"/>
      <c r="Z23" s="87">
        <v>13046208.74</v>
      </c>
      <c r="AA23" s="87">
        <v>1980367.26</v>
      </c>
      <c r="AB23" s="26">
        <v>0.15179638004167026</v>
      </c>
      <c r="AC23" s="87">
        <v>450142.3</v>
      </c>
      <c r="AD23" s="26">
        <v>3.4503686777588687E-2</v>
      </c>
      <c r="AE23" s="26"/>
      <c r="AF23" s="87">
        <v>13352266.07</v>
      </c>
      <c r="AG23" s="87">
        <v>1587900.8400000015</v>
      </c>
      <c r="AH23" s="26">
        <v>0.1189236966725605</v>
      </c>
      <c r="AI23" s="87">
        <v>363778.17000000004</v>
      </c>
      <c r="AJ23" s="26">
        <v>2.7244676528528765E-2</v>
      </c>
      <c r="AK23" s="26"/>
      <c r="AL23" s="91">
        <v>14391224.48</v>
      </c>
      <c r="AM23" s="91">
        <v>1710453.5900000017</v>
      </c>
      <c r="AN23" s="84">
        <f t="shared" si="0"/>
        <v>0.11885393021122562</v>
      </c>
      <c r="AO23" s="91">
        <v>260314.0800000001</v>
      </c>
      <c r="AP23" s="84">
        <f t="shared" si="1"/>
        <v>1.8088389932473633E-2</v>
      </c>
      <c r="AQ23" s="159" t="str">
        <f t="shared" si="2"/>
        <v>OK</v>
      </c>
      <c r="AR23" s="289" t="s">
        <v>9</v>
      </c>
      <c r="AS23" s="288">
        <v>14391224.48</v>
      </c>
      <c r="AT23" s="288">
        <v>1710453.5900000017</v>
      </c>
      <c r="AU23" s="222">
        <v>0.11885393021122562</v>
      </c>
      <c r="AV23">
        <v>260314.0800000001</v>
      </c>
      <c r="AW23" s="222">
        <v>1.8088389932473633E-2</v>
      </c>
    </row>
    <row r="24" spans="1:49" x14ac:dyDescent="0.25">
      <c r="A24" s="16" t="s">
        <v>23</v>
      </c>
      <c r="B24" s="35">
        <v>724213734</v>
      </c>
      <c r="C24" s="35">
        <v>68769229</v>
      </c>
      <c r="D24" s="26">
        <v>9.4957090388457066E-2</v>
      </c>
      <c r="E24" s="35">
        <v>17884060</v>
      </c>
      <c r="F24" s="26">
        <v>2.4694450215991072E-2</v>
      </c>
      <c r="G24" s="26"/>
      <c r="H24" s="35">
        <v>767275876.90999985</v>
      </c>
      <c r="I24" s="35">
        <v>71608206.859999999</v>
      </c>
      <c r="J24" s="26">
        <v>9.3327848580856035E-2</v>
      </c>
      <c r="K24" s="35">
        <v>23156983.48</v>
      </c>
      <c r="L24" s="26">
        <v>3.0180778748393096E-2</v>
      </c>
      <c r="M24" s="26"/>
      <c r="N24" s="35">
        <v>818635446.13000011</v>
      </c>
      <c r="O24" s="35">
        <v>67061370.430000015</v>
      </c>
      <c r="P24" s="26">
        <v>8.191847878933721E-2</v>
      </c>
      <c r="Q24" s="35">
        <v>18312502.34999999</v>
      </c>
      <c r="R24" s="26">
        <v>2.2369544876868118E-2</v>
      </c>
      <c r="S24" s="26"/>
      <c r="T24" s="87">
        <v>862129694.7700001</v>
      </c>
      <c r="U24" s="87">
        <v>69039048.730000019</v>
      </c>
      <c r="V24" s="26">
        <v>8.0079655240756248E-2</v>
      </c>
      <c r="W24" s="87">
        <v>19329599.690000009</v>
      </c>
      <c r="X24" s="26">
        <v>2.5192502816385739E-2</v>
      </c>
      <c r="Y24" s="26"/>
      <c r="Z24" s="87">
        <v>911722635.55999982</v>
      </c>
      <c r="AA24" s="87">
        <v>79830997.569999963</v>
      </c>
      <c r="AB24" s="26">
        <v>8.7560618170860735E-2</v>
      </c>
      <c r="AC24" s="87">
        <v>18784264.650000002</v>
      </c>
      <c r="AD24" s="26">
        <v>2.0603047371377699E-2</v>
      </c>
      <c r="AE24" s="26"/>
      <c r="AF24" s="87">
        <v>970407901.14000058</v>
      </c>
      <c r="AG24" s="87">
        <v>89886437.649999723</v>
      </c>
      <c r="AH24" s="26">
        <v>9.2627479170773797E-2</v>
      </c>
      <c r="AI24" s="87">
        <v>28165710.830000028</v>
      </c>
      <c r="AJ24" s="26">
        <v>2.9024609957227221E-2</v>
      </c>
      <c r="AK24" s="26"/>
      <c r="AL24" s="91">
        <v>1008139168.4600003</v>
      </c>
      <c r="AM24" s="91">
        <v>85943313.470001534</v>
      </c>
      <c r="AN24" s="84">
        <f t="shared" si="0"/>
        <v>8.52494538043648E-2</v>
      </c>
      <c r="AO24" s="91">
        <v>22711785.180000063</v>
      </c>
      <c r="AP24" s="84">
        <f t="shared" si="1"/>
        <v>2.2528422553697448E-2</v>
      </c>
      <c r="AQ24" s="159" t="str">
        <f t="shared" si="2"/>
        <v>OK</v>
      </c>
      <c r="AR24" s="287" t="s">
        <v>23</v>
      </c>
      <c r="AS24" s="288">
        <v>1008139168.4600003</v>
      </c>
      <c r="AT24" s="288">
        <v>85943313.470001534</v>
      </c>
      <c r="AU24" s="222">
        <v>8.52494538043648E-2</v>
      </c>
      <c r="AV24">
        <v>22711785.180000063</v>
      </c>
      <c r="AW24" s="222">
        <v>2.2528422553697448E-2</v>
      </c>
    </row>
    <row r="25" spans="1:49" x14ac:dyDescent="0.25">
      <c r="A25" s="16" t="s">
        <v>24</v>
      </c>
      <c r="B25" s="35">
        <v>383348</v>
      </c>
      <c r="C25" s="35">
        <v>0</v>
      </c>
      <c r="D25" s="26">
        <v>0</v>
      </c>
      <c r="E25" s="35">
        <v>0</v>
      </c>
      <c r="F25" s="26">
        <v>0</v>
      </c>
      <c r="G25" s="26"/>
      <c r="H25" s="35">
        <v>395077.65</v>
      </c>
      <c r="I25" s="35">
        <v>0</v>
      </c>
      <c r="J25" s="26">
        <v>0</v>
      </c>
      <c r="K25" s="35">
        <v>0</v>
      </c>
      <c r="L25" s="26">
        <v>0</v>
      </c>
      <c r="M25" s="26"/>
      <c r="N25" s="35">
        <v>402197.68</v>
      </c>
      <c r="O25" s="35">
        <v>0</v>
      </c>
      <c r="P25" s="26">
        <v>0</v>
      </c>
      <c r="Q25" s="35">
        <v>0</v>
      </c>
      <c r="R25" s="26">
        <v>0</v>
      </c>
      <c r="S25" s="26"/>
      <c r="T25" s="87">
        <v>414444.53</v>
      </c>
      <c r="U25" s="87">
        <v>0</v>
      </c>
      <c r="V25" s="26">
        <v>0</v>
      </c>
      <c r="W25" s="87">
        <v>0</v>
      </c>
      <c r="X25" s="26">
        <v>0</v>
      </c>
      <c r="Y25" s="26"/>
      <c r="Z25" s="87">
        <v>405729.26</v>
      </c>
      <c r="AA25" s="87">
        <v>9698.42</v>
      </c>
      <c r="AB25" s="26">
        <v>2.3903674090451351E-2</v>
      </c>
      <c r="AC25" s="87">
        <v>0</v>
      </c>
      <c r="AD25" s="26">
        <v>0</v>
      </c>
      <c r="AE25" s="26"/>
      <c r="AF25" s="87">
        <v>389754.14</v>
      </c>
      <c r="AG25" s="87">
        <v>3313.64</v>
      </c>
      <c r="AH25" s="26">
        <v>8.5018724881280282E-3</v>
      </c>
      <c r="AI25" s="87"/>
      <c r="AJ25" s="26">
        <v>0</v>
      </c>
      <c r="AK25" s="26"/>
      <c r="AL25" s="91">
        <v>404877.53</v>
      </c>
      <c r="AM25" s="91"/>
      <c r="AN25" s="84">
        <f t="shared" si="0"/>
        <v>0</v>
      </c>
      <c r="AO25" s="91"/>
      <c r="AP25" s="84">
        <f t="shared" si="1"/>
        <v>0</v>
      </c>
      <c r="AQ25" s="159" t="str">
        <f t="shared" si="2"/>
        <v>OK</v>
      </c>
      <c r="AR25" s="289" t="s">
        <v>24</v>
      </c>
      <c r="AS25" s="288">
        <v>404877.53</v>
      </c>
      <c r="AT25" s="288"/>
      <c r="AU25" s="222">
        <v>0</v>
      </c>
      <c r="AW25" s="222">
        <v>0</v>
      </c>
    </row>
    <row r="26" spans="1:49" x14ac:dyDescent="0.25">
      <c r="A26" s="16" t="s">
        <v>33</v>
      </c>
      <c r="B26" s="35">
        <v>385471</v>
      </c>
      <c r="C26" s="35">
        <v>53555</v>
      </c>
      <c r="D26" s="26">
        <v>0.13893392758469508</v>
      </c>
      <c r="E26" s="35">
        <v>52669</v>
      </c>
      <c r="F26" s="26">
        <v>0.13663544079839987</v>
      </c>
      <c r="G26" s="26"/>
      <c r="H26" s="35">
        <v>374542.38</v>
      </c>
      <c r="I26" s="35">
        <v>28</v>
      </c>
      <c r="J26" s="26">
        <v>7.4757895221363202E-5</v>
      </c>
      <c r="K26" s="35">
        <v>0</v>
      </c>
      <c r="L26" s="26">
        <v>0</v>
      </c>
      <c r="M26" s="26"/>
      <c r="N26" s="35">
        <v>366592.07</v>
      </c>
      <c r="O26" s="35">
        <v>221.68</v>
      </c>
      <c r="P26" s="26">
        <v>6.0470484263339358E-4</v>
      </c>
      <c r="Q26" s="35">
        <v>0</v>
      </c>
      <c r="R26" s="26">
        <v>0</v>
      </c>
      <c r="S26" s="26"/>
      <c r="T26" s="87">
        <v>363889.82</v>
      </c>
      <c r="U26" s="87">
        <v>390.1</v>
      </c>
      <c r="V26" s="26">
        <v>1.0720277912693464E-3</v>
      </c>
      <c r="W26" s="87">
        <v>0</v>
      </c>
      <c r="X26" s="26">
        <v>0</v>
      </c>
      <c r="Y26" s="26"/>
      <c r="Z26" s="87">
        <v>353228.08</v>
      </c>
      <c r="AA26" s="87">
        <v>311</v>
      </c>
      <c r="AB26" s="26">
        <v>8.804509539558689E-4</v>
      </c>
      <c r="AC26" s="87">
        <v>0</v>
      </c>
      <c r="AD26" s="26">
        <v>0</v>
      </c>
      <c r="AE26" s="26"/>
      <c r="AF26" s="87">
        <v>380547.83999999997</v>
      </c>
      <c r="AG26" s="87">
        <v>237</v>
      </c>
      <c r="AH26" s="26">
        <v>6.2278634928002749E-4</v>
      </c>
      <c r="AI26" s="87">
        <v>37</v>
      </c>
      <c r="AJ26" s="26">
        <v>9.7228248621776444E-5</v>
      </c>
      <c r="AK26" s="26"/>
      <c r="AL26" s="91">
        <v>360331.02</v>
      </c>
      <c r="AM26" s="91">
        <v>25</v>
      </c>
      <c r="AN26" s="84">
        <f t="shared" si="0"/>
        <v>6.938064893774618E-5</v>
      </c>
      <c r="AO26" s="91"/>
      <c r="AP26" s="84">
        <f t="shared" si="1"/>
        <v>0</v>
      </c>
      <c r="AQ26" s="159" t="str">
        <f t="shared" si="2"/>
        <v>OK</v>
      </c>
      <c r="AR26" s="285" t="s">
        <v>33</v>
      </c>
      <c r="AS26" s="290">
        <v>360331.02</v>
      </c>
      <c r="AT26" s="290">
        <v>25</v>
      </c>
      <c r="AU26" s="222">
        <v>6.938064893774618E-5</v>
      </c>
      <c r="AW26" s="222">
        <v>0</v>
      </c>
    </row>
    <row r="27" spans="1:49" x14ac:dyDescent="0.25">
      <c r="A27" s="16" t="s">
        <v>10</v>
      </c>
      <c r="B27" s="35">
        <v>9385622</v>
      </c>
      <c r="C27" s="35">
        <v>201694</v>
      </c>
      <c r="D27" s="26">
        <v>2.1489678574312922E-2</v>
      </c>
      <c r="E27" s="35">
        <v>28383</v>
      </c>
      <c r="F27" s="26">
        <v>3.0240936615602036E-3</v>
      </c>
      <c r="G27" s="26"/>
      <c r="H27" s="35">
        <v>9378118.6399999987</v>
      </c>
      <c r="I27" s="35">
        <v>127860.1</v>
      </c>
      <c r="J27" s="26">
        <v>1.3633875290790735E-2</v>
      </c>
      <c r="K27" s="35">
        <v>5098.9599999999991</v>
      </c>
      <c r="L27" s="26">
        <v>5.4370819945182523E-4</v>
      </c>
      <c r="M27" s="26"/>
      <c r="N27" s="35">
        <v>9690932.8199999984</v>
      </c>
      <c r="O27" s="35">
        <v>557128.80999999994</v>
      </c>
      <c r="P27" s="26">
        <v>5.7489698912183772E-2</v>
      </c>
      <c r="Q27" s="35">
        <v>215038.85</v>
      </c>
      <c r="R27" s="26">
        <v>2.2189695666469396E-2</v>
      </c>
      <c r="S27" s="26"/>
      <c r="T27" s="87">
        <v>9623825.7899999991</v>
      </c>
      <c r="U27" s="87">
        <v>1966383.3400000003</v>
      </c>
      <c r="V27" s="26">
        <v>0.20432449453139992</v>
      </c>
      <c r="W27" s="87">
        <v>1110502.28</v>
      </c>
      <c r="X27" s="26">
        <v>0.11841418547035999</v>
      </c>
      <c r="Y27" s="26"/>
      <c r="Z27" s="87">
        <v>10200661.359999999</v>
      </c>
      <c r="AA27" s="87">
        <v>275416.03000000003</v>
      </c>
      <c r="AB27" s="26">
        <v>2.699982092141524E-2</v>
      </c>
      <c r="AC27" s="87">
        <v>115435.86</v>
      </c>
      <c r="AD27" s="26">
        <v>1.1316507423004973E-2</v>
      </c>
      <c r="AE27" s="26"/>
      <c r="AF27" s="87">
        <v>10499467.360000001</v>
      </c>
      <c r="AG27" s="87">
        <v>412699.17999999993</v>
      </c>
      <c r="AH27" s="26">
        <v>3.9306677743698407E-2</v>
      </c>
      <c r="AI27" s="87">
        <v>80743.03</v>
      </c>
      <c r="AJ27" s="26">
        <v>7.6902024866145197E-3</v>
      </c>
      <c r="AK27" s="26"/>
      <c r="AL27" s="91">
        <v>11145657.469999999</v>
      </c>
      <c r="AM27" s="91">
        <v>298019.54000000004</v>
      </c>
      <c r="AN27" s="84">
        <f t="shared" si="0"/>
        <v>2.6738623612125062E-2</v>
      </c>
      <c r="AO27" s="91">
        <v>74675.640000000029</v>
      </c>
      <c r="AP27" s="84">
        <f t="shared" si="1"/>
        <v>6.6999762195275895E-3</v>
      </c>
      <c r="AQ27" s="159" t="str">
        <f t="shared" si="2"/>
        <v>OK</v>
      </c>
      <c r="AR27" s="285" t="s">
        <v>10</v>
      </c>
      <c r="AS27" s="288">
        <v>11145657.469999999</v>
      </c>
      <c r="AT27" s="288">
        <v>298019.54000000004</v>
      </c>
      <c r="AU27" s="222">
        <v>2.6738623612125062E-2</v>
      </c>
      <c r="AV27">
        <v>74675.640000000029</v>
      </c>
      <c r="AW27" s="222">
        <v>6.6999762195275895E-3</v>
      </c>
    </row>
    <row r="28" spans="1:49" x14ac:dyDescent="0.25">
      <c r="A28" s="16" t="s">
        <v>358</v>
      </c>
      <c r="B28" s="35">
        <v>68950011</v>
      </c>
      <c r="C28" s="35">
        <v>4195808</v>
      </c>
      <c r="D28" s="26">
        <v>6.0852898196056854E-2</v>
      </c>
      <c r="E28" s="35">
        <v>1493296</v>
      </c>
      <c r="F28" s="26">
        <v>2.1657661519444864E-2</v>
      </c>
      <c r="G28" s="26"/>
      <c r="H28" s="35">
        <v>70835216.199999973</v>
      </c>
      <c r="I28" s="35">
        <v>2509631.7200000002</v>
      </c>
      <c r="J28" s="26">
        <v>3.5429153105344814E-2</v>
      </c>
      <c r="K28" s="35">
        <v>591274.04</v>
      </c>
      <c r="L28" s="26">
        <v>8.3471763300695667E-3</v>
      </c>
      <c r="M28" s="26"/>
      <c r="N28" s="35">
        <v>75468039.069999978</v>
      </c>
      <c r="O28" s="35">
        <v>2700654.68</v>
      </c>
      <c r="P28" s="26">
        <v>3.5785409469762719E-2</v>
      </c>
      <c r="Q28" s="35">
        <v>422769</v>
      </c>
      <c r="R28" s="26">
        <v>5.6019608460723732E-3</v>
      </c>
      <c r="S28" s="26"/>
      <c r="T28" s="87">
        <v>80759807.800000012</v>
      </c>
      <c r="U28" s="87">
        <v>9242001.9299999997</v>
      </c>
      <c r="V28" s="26">
        <v>0.11443813676337153</v>
      </c>
      <c r="W28" s="87">
        <v>4259163.0799999991</v>
      </c>
      <c r="X28" s="26">
        <v>6.0127762834441677E-2</v>
      </c>
      <c r="Y28" s="26"/>
      <c r="Z28" s="87">
        <v>84158280.719999939</v>
      </c>
      <c r="AA28" s="87">
        <v>5313623.919999999</v>
      </c>
      <c r="AB28" s="26">
        <v>6.3138456186845951E-2</v>
      </c>
      <c r="AC28" s="87">
        <v>2230361.52</v>
      </c>
      <c r="AD28" s="26">
        <v>2.6501985317648746E-2</v>
      </c>
      <c r="AE28" s="26"/>
      <c r="AF28" s="87">
        <v>86852096.670000032</v>
      </c>
      <c r="AG28" s="87">
        <v>4645503.4099999974</v>
      </c>
      <c r="AH28" s="26">
        <v>5.3487521753802648E-2</v>
      </c>
      <c r="AI28" s="87">
        <v>1464977.4299999992</v>
      </c>
      <c r="AJ28" s="26">
        <v>1.6867496424021546E-2</v>
      </c>
      <c r="AK28" s="26"/>
      <c r="AL28" s="91">
        <v>87982956.209999979</v>
      </c>
      <c r="AM28" s="91">
        <v>5416166.629999998</v>
      </c>
      <c r="AN28" s="84">
        <f t="shared" si="0"/>
        <v>6.1559270832779844E-2</v>
      </c>
      <c r="AO28" s="91">
        <v>1521282.5199999998</v>
      </c>
      <c r="AP28" s="84">
        <f t="shared" si="1"/>
        <v>1.7290650206944213E-2</v>
      </c>
      <c r="AQ28" s="159" t="str">
        <f t="shared" si="2"/>
        <v>OK</v>
      </c>
      <c r="AR28" s="285" t="s">
        <v>358</v>
      </c>
      <c r="AS28" s="288">
        <v>87982956.209999979</v>
      </c>
      <c r="AT28" s="288">
        <v>5416166.629999998</v>
      </c>
      <c r="AU28" s="222">
        <v>6.1559270832779844E-2</v>
      </c>
      <c r="AV28">
        <v>1521282.5199999998</v>
      </c>
      <c r="AW28" s="222">
        <v>1.7290650206944213E-2</v>
      </c>
    </row>
    <row r="29" spans="1:49" x14ac:dyDescent="0.25">
      <c r="A29" s="16" t="s">
        <v>190</v>
      </c>
      <c r="B29" s="35">
        <v>13516207</v>
      </c>
      <c r="C29" s="35">
        <v>1187214</v>
      </c>
      <c r="D29" s="26">
        <v>8.7836328638648403E-2</v>
      </c>
      <c r="E29" s="35">
        <v>184477</v>
      </c>
      <c r="F29" s="26">
        <v>1.3648577592811356E-2</v>
      </c>
      <c r="G29" s="26"/>
      <c r="H29" s="35">
        <v>13653198.119999999</v>
      </c>
      <c r="I29" s="35">
        <v>1740933.95</v>
      </c>
      <c r="J29" s="26">
        <v>0.12751107357402061</v>
      </c>
      <c r="K29" s="35">
        <v>430825.57999999996</v>
      </c>
      <c r="L29" s="26">
        <v>3.155492040864049E-2</v>
      </c>
      <c r="M29" s="26"/>
      <c r="N29" s="35">
        <v>13627735.779999999</v>
      </c>
      <c r="O29" s="35">
        <v>1068034.8900000001</v>
      </c>
      <c r="P29" s="26">
        <v>7.8372145398316509E-2</v>
      </c>
      <c r="Q29" s="35">
        <v>75726.460000000006</v>
      </c>
      <c r="R29" s="26">
        <v>5.5567895666964575E-3</v>
      </c>
      <c r="S29" s="26"/>
      <c r="T29" s="87">
        <v>14324833.080000002</v>
      </c>
      <c r="U29" s="87">
        <v>433898.05999999994</v>
      </c>
      <c r="V29" s="26">
        <v>3.0289920837248588E-2</v>
      </c>
      <c r="W29" s="87">
        <v>63925.15</v>
      </c>
      <c r="X29" s="26">
        <v>4.6820641902470253E-3</v>
      </c>
      <c r="Y29" s="26"/>
      <c r="Z29" s="87">
        <v>15667740.899999999</v>
      </c>
      <c r="AA29" s="87">
        <v>704637.9</v>
      </c>
      <c r="AB29" s="26">
        <v>4.4973803466458913E-2</v>
      </c>
      <c r="AC29" s="87">
        <v>75873.280000000013</v>
      </c>
      <c r="AD29" s="26">
        <v>4.8426432683731716E-3</v>
      </c>
      <c r="AE29" s="26"/>
      <c r="AF29" s="87">
        <v>18000225.170000002</v>
      </c>
      <c r="AG29" s="87">
        <v>742558.04000000027</v>
      </c>
      <c r="AH29" s="26">
        <v>4.1252708395980595E-2</v>
      </c>
      <c r="AI29" s="87">
        <v>94961.809999999983</v>
      </c>
      <c r="AJ29" s="26">
        <v>5.2755901164096364E-3</v>
      </c>
      <c r="AK29" s="26"/>
      <c r="AL29" s="91">
        <v>20129185.640000001</v>
      </c>
      <c r="AM29" s="91">
        <v>995361.10000000102</v>
      </c>
      <c r="AN29" s="84">
        <f t="shared" si="0"/>
        <v>4.9448652210850243E-2</v>
      </c>
      <c r="AO29" s="91">
        <v>154897.27000000002</v>
      </c>
      <c r="AP29" s="84">
        <f t="shared" si="1"/>
        <v>7.6951583024895791E-3</v>
      </c>
      <c r="AQ29" s="159" t="str">
        <f t="shared" si="2"/>
        <v>OK</v>
      </c>
      <c r="AR29" s="285" t="s">
        <v>190</v>
      </c>
      <c r="AS29" s="288">
        <v>20129185.640000001</v>
      </c>
      <c r="AT29" s="288">
        <v>995361.10000000102</v>
      </c>
      <c r="AU29" s="222">
        <v>4.9448652210850243E-2</v>
      </c>
      <c r="AV29">
        <v>154897.27000000002</v>
      </c>
      <c r="AW29" s="222">
        <v>7.6951583024895791E-3</v>
      </c>
    </row>
    <row r="30" spans="1:49" x14ac:dyDescent="0.25">
      <c r="A30" s="16" t="s">
        <v>11</v>
      </c>
      <c r="B30" s="35">
        <v>39959848</v>
      </c>
      <c r="C30" s="35">
        <v>2051933</v>
      </c>
      <c r="D30" s="26">
        <v>5.1349869999505506E-2</v>
      </c>
      <c r="E30" s="35">
        <v>477580</v>
      </c>
      <c r="F30" s="26">
        <v>1.1951496912600869E-2</v>
      </c>
      <c r="G30" s="26"/>
      <c r="H30" s="35">
        <v>39624700.590000004</v>
      </c>
      <c r="I30" s="35">
        <v>3800950.31</v>
      </c>
      <c r="J30" s="26">
        <v>9.5923761022922091E-2</v>
      </c>
      <c r="K30" s="35">
        <v>1514814.5399999998</v>
      </c>
      <c r="L30" s="26">
        <v>3.8229046969311113E-2</v>
      </c>
      <c r="M30" s="26"/>
      <c r="N30" s="35">
        <v>39390948.019999996</v>
      </c>
      <c r="O30" s="35">
        <v>1767303.1899999997</v>
      </c>
      <c r="P30" s="26">
        <v>4.4865718618975238E-2</v>
      </c>
      <c r="Q30" s="35">
        <v>503783.64999999997</v>
      </c>
      <c r="R30" s="26">
        <v>1.2789325348153933E-2</v>
      </c>
      <c r="S30" s="26"/>
      <c r="T30" s="87">
        <v>39016243.710000016</v>
      </c>
      <c r="U30" s="87">
        <v>1743472.7899999998</v>
      </c>
      <c r="V30" s="26">
        <v>4.4685818628745669E-2</v>
      </c>
      <c r="W30" s="87">
        <v>462924.54</v>
      </c>
      <c r="X30" s="26">
        <v>1.16827265091519E-2</v>
      </c>
      <c r="Y30" s="26"/>
      <c r="Z30" s="87">
        <v>41456040.999999985</v>
      </c>
      <c r="AA30" s="87">
        <v>2294050.4999999995</v>
      </c>
      <c r="AB30" s="26">
        <v>5.5336941122766652E-2</v>
      </c>
      <c r="AC30" s="87">
        <v>701007.91999999993</v>
      </c>
      <c r="AD30" s="26">
        <v>1.6909668725964454E-2</v>
      </c>
      <c r="AE30" s="26"/>
      <c r="AF30" s="87">
        <v>43324899.07</v>
      </c>
      <c r="AG30" s="87">
        <v>2664447.8399999985</v>
      </c>
      <c r="AH30" s="26">
        <v>6.1499227861905745E-2</v>
      </c>
      <c r="AI30" s="87">
        <v>699352.15</v>
      </c>
      <c r="AJ30" s="26">
        <v>1.6142037604520609E-2</v>
      </c>
      <c r="AK30" s="26"/>
      <c r="AL30" s="91">
        <v>44539394.219999999</v>
      </c>
      <c r="AM30" s="91">
        <v>2743993.5000000009</v>
      </c>
      <c r="AN30" s="84">
        <f t="shared" si="0"/>
        <v>6.1608235766436092E-2</v>
      </c>
      <c r="AO30" s="91">
        <v>689383.28000000026</v>
      </c>
      <c r="AP30" s="84">
        <f t="shared" si="1"/>
        <v>1.54780569442599E-2</v>
      </c>
      <c r="AQ30" s="159" t="str">
        <f t="shared" si="2"/>
        <v>OK</v>
      </c>
      <c r="AR30" s="285" t="s">
        <v>11</v>
      </c>
      <c r="AS30" s="288">
        <v>44539394.219999999</v>
      </c>
      <c r="AT30" s="288">
        <v>2743993.5000000009</v>
      </c>
      <c r="AU30" s="222">
        <v>6.1608235766436092E-2</v>
      </c>
      <c r="AV30">
        <v>689383.28000000026</v>
      </c>
      <c r="AW30" s="222">
        <v>1.54780569442599E-2</v>
      </c>
    </row>
    <row r="31" spans="1:49" x14ac:dyDescent="0.25">
      <c r="A31" s="16" t="s">
        <v>12</v>
      </c>
      <c r="B31" s="35">
        <v>17435453</v>
      </c>
      <c r="C31" s="35">
        <v>634476</v>
      </c>
      <c r="D31" s="26">
        <v>3.6389992276082535E-2</v>
      </c>
      <c r="E31" s="35">
        <v>35935</v>
      </c>
      <c r="F31" s="26">
        <v>2.0610304762371245E-3</v>
      </c>
      <c r="G31" s="26"/>
      <c r="H31" s="35">
        <v>17298422.559999999</v>
      </c>
      <c r="I31" s="35">
        <v>881196.8</v>
      </c>
      <c r="J31" s="26">
        <v>5.0940876079512309E-2</v>
      </c>
      <c r="K31" s="35">
        <v>228260.90999999997</v>
      </c>
      <c r="L31" s="26">
        <v>1.3195475437617012E-2</v>
      </c>
      <c r="M31" s="26"/>
      <c r="N31" s="35">
        <v>17345561.110000003</v>
      </c>
      <c r="O31" s="35">
        <v>1016125.5</v>
      </c>
      <c r="P31" s="26">
        <v>5.8581298901549332E-2</v>
      </c>
      <c r="Q31" s="35">
        <v>224599.04000000001</v>
      </c>
      <c r="R31" s="26">
        <v>1.2948502419475778E-2</v>
      </c>
      <c r="S31" s="26"/>
      <c r="T31" s="87">
        <v>18401941.719999999</v>
      </c>
      <c r="U31" s="87">
        <v>1925685.07</v>
      </c>
      <c r="V31" s="26">
        <v>0.10464575419816079</v>
      </c>
      <c r="W31" s="87">
        <v>795967.81</v>
      </c>
      <c r="X31" s="26">
        <v>4.6013895616156118E-2</v>
      </c>
      <c r="Y31" s="26"/>
      <c r="Z31" s="87">
        <v>18534132.439999998</v>
      </c>
      <c r="AA31" s="87">
        <v>2017622.8800000001</v>
      </c>
      <c r="AB31" s="26">
        <v>0.10885985014575629</v>
      </c>
      <c r="AC31" s="87">
        <v>957589.46</v>
      </c>
      <c r="AD31" s="26">
        <v>5.1666268334920787E-2</v>
      </c>
      <c r="AE31" s="26"/>
      <c r="AF31" s="87">
        <v>18827205.84</v>
      </c>
      <c r="AG31" s="87">
        <v>1282567.2099999993</v>
      </c>
      <c r="AH31" s="26">
        <v>6.812307789587535E-2</v>
      </c>
      <c r="AI31" s="87">
        <v>286693.34000000014</v>
      </c>
      <c r="AJ31" s="26">
        <v>1.5227609579266178E-2</v>
      </c>
      <c r="AK31" s="26"/>
      <c r="AL31" s="91">
        <v>20036075.870000005</v>
      </c>
      <c r="AM31" s="91">
        <v>1763882.0299999991</v>
      </c>
      <c r="AN31" s="84">
        <f t="shared" si="0"/>
        <v>8.8035303990890643E-2</v>
      </c>
      <c r="AO31" s="91">
        <v>429881.32000000024</v>
      </c>
      <c r="AP31" s="84">
        <f t="shared" si="1"/>
        <v>2.1455364952159175E-2</v>
      </c>
      <c r="AQ31" s="159" t="str">
        <f t="shared" si="2"/>
        <v>OK</v>
      </c>
      <c r="AR31" s="285" t="s">
        <v>12</v>
      </c>
      <c r="AS31" s="288">
        <v>20036075.870000005</v>
      </c>
      <c r="AT31" s="288">
        <v>1763882.0299999991</v>
      </c>
      <c r="AU31" s="222">
        <v>8.8035303990890643E-2</v>
      </c>
      <c r="AV31">
        <v>429881.32000000024</v>
      </c>
      <c r="AW31" s="222">
        <v>2.1455364952159175E-2</v>
      </c>
    </row>
    <row r="32" spans="1:49" x14ac:dyDescent="0.25">
      <c r="A32" s="16" t="s">
        <v>13</v>
      </c>
      <c r="B32" s="35">
        <v>11700330</v>
      </c>
      <c r="C32" s="35">
        <v>462607</v>
      </c>
      <c r="D32" s="26">
        <v>3.9537944656261835E-2</v>
      </c>
      <c r="E32" s="35">
        <v>156378</v>
      </c>
      <c r="F32" s="26">
        <v>1.3365264056654813E-2</v>
      </c>
      <c r="G32" s="26"/>
      <c r="H32" s="35">
        <v>12477319.989999998</v>
      </c>
      <c r="I32" s="35">
        <v>390060.65000000008</v>
      </c>
      <c r="J32" s="26">
        <v>3.1261573023102389E-2</v>
      </c>
      <c r="K32" s="35">
        <v>58978.070000000007</v>
      </c>
      <c r="L32" s="26">
        <v>4.7268219495266803E-3</v>
      </c>
      <c r="M32" s="26"/>
      <c r="N32" s="35">
        <v>12594308.99</v>
      </c>
      <c r="O32" s="35">
        <v>557564.86999999988</v>
      </c>
      <c r="P32" s="26">
        <v>4.4271176008363111E-2</v>
      </c>
      <c r="Q32" s="35">
        <v>37832.009999999995</v>
      </c>
      <c r="R32" s="26">
        <v>3.0038972388273916E-3</v>
      </c>
      <c r="S32" s="26"/>
      <c r="T32" s="87">
        <v>14735601.150000002</v>
      </c>
      <c r="U32" s="87">
        <v>610932.62</v>
      </c>
      <c r="V32" s="26">
        <v>4.1459633290902416E-2</v>
      </c>
      <c r="W32" s="87">
        <v>133799.77000000002</v>
      </c>
      <c r="X32" s="26">
        <v>1.0723438214875824E-2</v>
      </c>
      <c r="Y32" s="26"/>
      <c r="Z32" s="87">
        <v>16509012.67</v>
      </c>
      <c r="AA32" s="87">
        <v>695284.79</v>
      </c>
      <c r="AB32" s="26">
        <v>4.2115467708342368E-2</v>
      </c>
      <c r="AC32" s="87">
        <v>268329.93</v>
      </c>
      <c r="AD32" s="26">
        <v>1.6253541950913046E-2</v>
      </c>
      <c r="AE32" s="26"/>
      <c r="AF32" s="87">
        <v>18294673.719999999</v>
      </c>
      <c r="AG32" s="87">
        <v>478614.67999999976</v>
      </c>
      <c r="AH32" s="26">
        <v>2.6161422025076694E-2</v>
      </c>
      <c r="AI32" s="87">
        <v>93066.639999999985</v>
      </c>
      <c r="AJ32" s="26">
        <v>5.0870893585961141E-3</v>
      </c>
      <c r="AK32" s="26"/>
      <c r="AL32" s="91">
        <v>21574376.949999999</v>
      </c>
      <c r="AM32" s="91">
        <v>946240.83000000042</v>
      </c>
      <c r="AN32" s="84">
        <f t="shared" si="0"/>
        <v>4.3859474236172577E-2</v>
      </c>
      <c r="AO32" s="91">
        <v>167553.56</v>
      </c>
      <c r="AP32" s="84">
        <f t="shared" si="1"/>
        <v>7.7663220768004609E-3</v>
      </c>
      <c r="AQ32" s="159" t="str">
        <f t="shared" si="2"/>
        <v>OK</v>
      </c>
      <c r="AR32" s="285" t="s">
        <v>13</v>
      </c>
      <c r="AS32" s="288">
        <v>21574376.949999999</v>
      </c>
      <c r="AT32" s="288">
        <v>946240.83000000042</v>
      </c>
      <c r="AU32" s="222">
        <v>4.3859474236172577E-2</v>
      </c>
      <c r="AV32">
        <v>167553.56</v>
      </c>
      <c r="AW32" s="222">
        <v>7.7663220768004609E-3</v>
      </c>
    </row>
    <row r="33" spans="1:49" x14ac:dyDescent="0.25">
      <c r="A33" s="16" t="s">
        <v>14</v>
      </c>
      <c r="B33" s="35">
        <v>11181008</v>
      </c>
      <c r="C33" s="35">
        <v>797373</v>
      </c>
      <c r="D33" s="26">
        <v>7.1314947632628467E-2</v>
      </c>
      <c r="E33" s="35">
        <v>129630</v>
      </c>
      <c r="F33" s="26">
        <v>1.1593766858945097E-2</v>
      </c>
      <c r="G33" s="26"/>
      <c r="H33" s="35">
        <v>11078173.970000001</v>
      </c>
      <c r="I33" s="35">
        <v>861867.64999999991</v>
      </c>
      <c r="J33" s="26">
        <v>7.7798710539657631E-2</v>
      </c>
      <c r="K33" s="35">
        <v>47310.53</v>
      </c>
      <c r="L33" s="26">
        <v>4.2706072434065588E-3</v>
      </c>
      <c r="M33" s="26"/>
      <c r="N33" s="35">
        <v>11541441.030000001</v>
      </c>
      <c r="O33" s="35">
        <v>973962.06</v>
      </c>
      <c r="P33" s="26">
        <v>8.4388254245579247E-2</v>
      </c>
      <c r="Q33" s="35">
        <v>129123.49</v>
      </c>
      <c r="R33" s="26">
        <v>1.1187813520371121E-2</v>
      </c>
      <c r="S33" s="26"/>
      <c r="T33" s="87">
        <v>11069518.399999999</v>
      </c>
      <c r="U33" s="87">
        <v>264558.97000000003</v>
      </c>
      <c r="V33" s="26">
        <v>2.3899772369500742E-2</v>
      </c>
      <c r="W33" s="87">
        <v>2049.67</v>
      </c>
      <c r="X33" s="26">
        <v>1.8501875900762732E-4</v>
      </c>
      <c r="Y33" s="26"/>
      <c r="Z33" s="87">
        <v>10182488.870000001</v>
      </c>
      <c r="AA33" s="87">
        <v>382664.47</v>
      </c>
      <c r="AB33" s="26">
        <v>3.7580642108769616E-2</v>
      </c>
      <c r="AC33" s="87">
        <v>48647.72</v>
      </c>
      <c r="AD33" s="26">
        <v>4.7775863662692123E-3</v>
      </c>
      <c r="AE33" s="26"/>
      <c r="AF33" s="87">
        <v>11067209.25</v>
      </c>
      <c r="AG33" s="87">
        <v>352410.95999999996</v>
      </c>
      <c r="AH33" s="26">
        <v>3.1842802646927452E-2</v>
      </c>
      <c r="AI33" s="87">
        <v>76917.22</v>
      </c>
      <c r="AJ33" s="26">
        <v>6.9500104554361796E-3</v>
      </c>
      <c r="AK33" s="26"/>
      <c r="AL33" s="91">
        <v>11563128.100000001</v>
      </c>
      <c r="AM33" s="91">
        <v>412091.54</v>
      </c>
      <c r="AN33" s="84">
        <f t="shared" si="0"/>
        <v>3.5638413449730781E-2</v>
      </c>
      <c r="AO33" s="91">
        <v>57758</v>
      </c>
      <c r="AP33" s="84">
        <f t="shared" si="1"/>
        <v>4.9950151464636973E-3</v>
      </c>
      <c r="AQ33" s="159" t="str">
        <f t="shared" si="2"/>
        <v>OK</v>
      </c>
      <c r="AR33" s="285" t="s">
        <v>14</v>
      </c>
      <c r="AS33" s="288">
        <v>11563128.100000001</v>
      </c>
      <c r="AT33" s="288">
        <v>412091.54</v>
      </c>
      <c r="AU33" s="222">
        <v>3.5638413449730781E-2</v>
      </c>
      <c r="AV33">
        <v>57758</v>
      </c>
      <c r="AW33" s="222">
        <v>4.9950151464636973E-3</v>
      </c>
    </row>
    <row r="34" spans="1:49" x14ac:dyDescent="0.25">
      <c r="A34" s="16" t="s">
        <v>15</v>
      </c>
      <c r="B34" s="35">
        <v>20480858</v>
      </c>
      <c r="C34" s="35">
        <v>262350</v>
      </c>
      <c r="D34" s="26">
        <v>1.2809521944832584E-2</v>
      </c>
      <c r="E34" s="35">
        <v>57715</v>
      </c>
      <c r="F34" s="26">
        <v>2.8179971757042602E-3</v>
      </c>
      <c r="G34" s="26"/>
      <c r="H34" s="35">
        <v>21669923.130000003</v>
      </c>
      <c r="I34" s="35">
        <v>144563.57999999999</v>
      </c>
      <c r="J34" s="26">
        <v>6.6711625663251704E-3</v>
      </c>
      <c r="K34" s="35">
        <v>19.25</v>
      </c>
      <c r="L34" s="26">
        <v>8.8832802426281595E-7</v>
      </c>
      <c r="M34" s="26"/>
      <c r="N34" s="35">
        <v>23663288.989999998</v>
      </c>
      <c r="O34" s="35">
        <v>1019780.52</v>
      </c>
      <c r="P34" s="26">
        <v>4.3095468277083326E-2</v>
      </c>
      <c r="Q34" s="35">
        <v>258128.37</v>
      </c>
      <c r="R34" s="26">
        <v>1.090838936671415E-2</v>
      </c>
      <c r="S34" s="26"/>
      <c r="T34" s="87">
        <v>24654560.070000008</v>
      </c>
      <c r="U34" s="87">
        <v>298665.88999999996</v>
      </c>
      <c r="V34" s="26">
        <v>1.211402228034158E-2</v>
      </c>
      <c r="W34" s="87">
        <v>53283.330000000009</v>
      </c>
      <c r="X34" s="26">
        <v>2.4588610527295396E-3</v>
      </c>
      <c r="Y34" s="26"/>
      <c r="Z34" s="87">
        <v>25833534.990000002</v>
      </c>
      <c r="AA34" s="87">
        <v>108961.45000000003</v>
      </c>
      <c r="AB34" s="26">
        <v>4.2178296559947492E-3</v>
      </c>
      <c r="AC34" s="87">
        <v>4369.17</v>
      </c>
      <c r="AD34" s="26">
        <v>1.6912784106748373E-4</v>
      </c>
      <c r="AE34" s="26"/>
      <c r="AF34" s="87">
        <v>26856319.289999988</v>
      </c>
      <c r="AG34" s="87">
        <v>121182.74000000002</v>
      </c>
      <c r="AH34" s="26">
        <v>4.5122616651762362E-3</v>
      </c>
      <c r="AI34" s="87">
        <v>33441.01</v>
      </c>
      <c r="AJ34" s="26">
        <v>1.2451821725418582E-3</v>
      </c>
      <c r="AK34" s="26"/>
      <c r="AL34" s="91">
        <v>27062573.02</v>
      </c>
      <c r="AM34" s="91">
        <v>185796.68</v>
      </c>
      <c r="AN34" s="84">
        <f t="shared" si="0"/>
        <v>6.8654477112243184E-3</v>
      </c>
      <c r="AO34" s="91">
        <v>25228.959999999999</v>
      </c>
      <c r="AP34" s="84">
        <f t="shared" si="1"/>
        <v>9.3224542918942299E-4</v>
      </c>
      <c r="AQ34" s="159" t="str">
        <f t="shared" si="2"/>
        <v>No</v>
      </c>
      <c r="AR34" s="285" t="s">
        <v>359</v>
      </c>
      <c r="AS34" s="288">
        <v>27062573.02</v>
      </c>
      <c r="AT34" s="288">
        <v>185796.68</v>
      </c>
      <c r="AU34" s="222">
        <v>6.8654477112243184E-3</v>
      </c>
      <c r="AV34">
        <v>25228.959999999999</v>
      </c>
      <c r="AW34" s="222">
        <v>9.3224542918942299E-4</v>
      </c>
    </row>
    <row r="35" spans="1:49" x14ac:dyDescent="0.25">
      <c r="A35" s="16" t="s">
        <v>16</v>
      </c>
      <c r="B35" s="35">
        <v>16419326</v>
      </c>
      <c r="C35" s="35">
        <v>1780516</v>
      </c>
      <c r="D35" s="26">
        <v>0.10844026118977113</v>
      </c>
      <c r="E35" s="35">
        <v>709875</v>
      </c>
      <c r="F35" s="26">
        <v>4.3234113263845297E-2</v>
      </c>
      <c r="G35" s="26"/>
      <c r="H35" s="35">
        <v>16965715.059999999</v>
      </c>
      <c r="I35" s="35">
        <v>1465257.12</v>
      </c>
      <c r="J35" s="26">
        <v>8.6365774434973938E-2</v>
      </c>
      <c r="K35" s="35">
        <v>458479</v>
      </c>
      <c r="L35" s="26">
        <v>2.7023853599955489E-2</v>
      </c>
      <c r="M35" s="26"/>
      <c r="N35" s="35">
        <v>18103675.109999999</v>
      </c>
      <c r="O35" s="35">
        <v>1245276.7400000002</v>
      </c>
      <c r="P35" s="26">
        <v>6.8785853283024376E-2</v>
      </c>
      <c r="Q35" s="35">
        <v>310658.12</v>
      </c>
      <c r="R35" s="26">
        <v>1.7159947806862735E-2</v>
      </c>
      <c r="S35" s="26"/>
      <c r="T35" s="87">
        <v>20249347.920000002</v>
      </c>
      <c r="U35" s="87">
        <v>1159518.6599999999</v>
      </c>
      <c r="V35" s="26">
        <v>5.7262024662767502E-2</v>
      </c>
      <c r="W35" s="87">
        <v>151738.35</v>
      </c>
      <c r="X35" s="26">
        <v>8.9438228488083558E-3</v>
      </c>
      <c r="Y35" s="26"/>
      <c r="Z35" s="87">
        <v>21957569.520000003</v>
      </c>
      <c r="AA35" s="87">
        <v>2030140.01</v>
      </c>
      <c r="AB35" s="26">
        <v>9.2457410104103355E-2</v>
      </c>
      <c r="AC35" s="87">
        <v>330954.92000000004</v>
      </c>
      <c r="AD35" s="26">
        <v>1.5072475106980784E-2</v>
      </c>
      <c r="AE35" s="26"/>
      <c r="AF35" s="87">
        <v>23498197.5</v>
      </c>
      <c r="AG35" s="87">
        <v>1904520.879999999</v>
      </c>
      <c r="AH35" s="26">
        <v>8.1049658383371706E-2</v>
      </c>
      <c r="AI35" s="87">
        <v>303205.83</v>
      </c>
      <c r="AJ35" s="26">
        <v>1.2903365460265622E-2</v>
      </c>
      <c r="AK35" s="26"/>
      <c r="AL35" s="91">
        <v>24948845.27</v>
      </c>
      <c r="AM35" s="91">
        <v>2587526.9200000027</v>
      </c>
      <c r="AN35" s="84">
        <f t="shared" si="0"/>
        <v>0.10371329382171453</v>
      </c>
      <c r="AO35" s="91">
        <v>483891.6200000004</v>
      </c>
      <c r="AP35" s="84">
        <f t="shared" si="1"/>
        <v>1.9395351358479942E-2</v>
      </c>
      <c r="AQ35" s="159" t="str">
        <f t="shared" si="2"/>
        <v>OK</v>
      </c>
      <c r="AR35" s="285" t="s">
        <v>16</v>
      </c>
      <c r="AS35" s="288">
        <v>24948845.27</v>
      </c>
      <c r="AT35" s="288">
        <v>2587526.9200000027</v>
      </c>
      <c r="AU35" s="222">
        <v>0.10371329382171453</v>
      </c>
      <c r="AV35">
        <v>483891.6200000004</v>
      </c>
      <c r="AW35" s="222">
        <v>1.9395351358479942E-2</v>
      </c>
    </row>
    <row r="36" spans="1:49" x14ac:dyDescent="0.25">
      <c r="A36" s="16" t="s">
        <v>17</v>
      </c>
      <c r="B36" s="35">
        <v>47464961</v>
      </c>
      <c r="C36" s="35">
        <v>6200531</v>
      </c>
      <c r="D36" s="26">
        <v>0.13063385852144702</v>
      </c>
      <c r="E36" s="35">
        <v>837806</v>
      </c>
      <c r="F36" s="26">
        <v>1.7651041575700441E-2</v>
      </c>
      <c r="G36" s="26"/>
      <c r="H36" s="35">
        <v>49158730.029999994</v>
      </c>
      <c r="I36" s="35">
        <v>7180199.3300000001</v>
      </c>
      <c r="J36" s="26">
        <v>0.14606153018229223</v>
      </c>
      <c r="K36" s="35">
        <v>885491.07</v>
      </c>
      <c r="L36" s="26">
        <v>1.8012895562184238E-2</v>
      </c>
      <c r="M36" s="26"/>
      <c r="N36" s="35">
        <v>50261101.629999995</v>
      </c>
      <c r="O36" s="35">
        <v>7317456.8799999999</v>
      </c>
      <c r="P36" s="26">
        <v>0.14558886778622326</v>
      </c>
      <c r="Q36" s="35">
        <v>1068370.24</v>
      </c>
      <c r="R36" s="26">
        <v>2.1256403169689141E-2</v>
      </c>
      <c r="S36" s="26"/>
      <c r="T36" s="87">
        <v>55024713.050000004</v>
      </c>
      <c r="U36" s="87">
        <v>7965563.7799999993</v>
      </c>
      <c r="V36" s="26">
        <v>0.14476338609456862</v>
      </c>
      <c r="W36" s="87">
        <v>1434691.1500000001</v>
      </c>
      <c r="X36" s="26">
        <v>2.918487009579894E-2</v>
      </c>
      <c r="Y36" s="26"/>
      <c r="Z36" s="87">
        <v>57971073.359999992</v>
      </c>
      <c r="AA36" s="87">
        <v>8480247.0600000005</v>
      </c>
      <c r="AB36" s="26">
        <v>0.14628411323933441</v>
      </c>
      <c r="AC36" s="87">
        <v>991050.46999999986</v>
      </c>
      <c r="AD36" s="26">
        <v>1.7095603247598727E-2</v>
      </c>
      <c r="AE36" s="26"/>
      <c r="AF36" s="87">
        <v>60464246.619999997</v>
      </c>
      <c r="AG36" s="87">
        <v>9924098.4100000001</v>
      </c>
      <c r="AH36" s="26">
        <v>0.16413168053461477</v>
      </c>
      <c r="AI36" s="87">
        <v>1286040.3599999992</v>
      </c>
      <c r="AJ36" s="26">
        <v>2.1269434945288983E-2</v>
      </c>
      <c r="AK36" s="26"/>
      <c r="AL36" s="91">
        <v>64648602.189999998</v>
      </c>
      <c r="AM36" s="91">
        <v>9097689.8099999968</v>
      </c>
      <c r="AN36" s="84">
        <f t="shared" si="0"/>
        <v>0.1407252361506936</v>
      </c>
      <c r="AO36" s="91">
        <v>1077215.45</v>
      </c>
      <c r="AP36" s="84">
        <f t="shared" si="1"/>
        <v>1.6662625540365145E-2</v>
      </c>
      <c r="AQ36" s="159" t="str">
        <f t="shared" si="2"/>
        <v>OK</v>
      </c>
      <c r="AR36" s="285" t="s">
        <v>17</v>
      </c>
      <c r="AS36" s="288">
        <v>64648602.189999998</v>
      </c>
      <c r="AT36" s="288">
        <v>9097689.8099999968</v>
      </c>
      <c r="AU36" s="222">
        <v>0.1407252361506936</v>
      </c>
      <c r="AV36">
        <v>1077215.45</v>
      </c>
      <c r="AW36" s="222">
        <v>1.6662625540365145E-2</v>
      </c>
    </row>
    <row r="37" spans="1:49" x14ac:dyDescent="0.25">
      <c r="A37" s="16" t="s">
        <v>18</v>
      </c>
      <c r="B37" s="35">
        <v>13441050</v>
      </c>
      <c r="C37" s="35">
        <v>382921</v>
      </c>
      <c r="D37" s="26">
        <v>2.8488920136447674E-2</v>
      </c>
      <c r="E37" s="35">
        <v>30348</v>
      </c>
      <c r="F37" s="26">
        <v>2.2578593190264152E-3</v>
      </c>
      <c r="G37" s="26"/>
      <c r="H37" s="35">
        <v>13525199.33</v>
      </c>
      <c r="I37" s="35">
        <v>605195.16</v>
      </c>
      <c r="J37" s="26">
        <v>4.4745747935679411E-2</v>
      </c>
      <c r="K37" s="35">
        <v>49303.4</v>
      </c>
      <c r="L37" s="26">
        <v>3.6452993258769225E-3</v>
      </c>
      <c r="M37" s="26"/>
      <c r="N37" s="35">
        <v>14784151.65</v>
      </c>
      <c r="O37" s="35">
        <v>624238.81999999995</v>
      </c>
      <c r="P37" s="26">
        <v>4.2223513041412822E-2</v>
      </c>
      <c r="Q37" s="35">
        <v>190505.54</v>
      </c>
      <c r="R37" s="26">
        <v>1.2885794498732702E-2</v>
      </c>
      <c r="S37" s="26"/>
      <c r="T37" s="87">
        <v>14841885.27</v>
      </c>
      <c r="U37" s="87">
        <v>396457.42</v>
      </c>
      <c r="V37" s="26">
        <v>2.6712066074339087E-2</v>
      </c>
      <c r="W37" s="87">
        <v>37880.47</v>
      </c>
      <c r="X37" s="26">
        <v>2.8007328450958954E-3</v>
      </c>
      <c r="Y37" s="26"/>
      <c r="Z37" s="87">
        <v>15864299.09</v>
      </c>
      <c r="AA37" s="87">
        <v>337624.59</v>
      </c>
      <c r="AB37" s="26">
        <v>2.1282036356262371E-2</v>
      </c>
      <c r="AC37" s="87">
        <v>18208.54</v>
      </c>
      <c r="AD37" s="26">
        <v>1.1477683253890293E-3</v>
      </c>
      <c r="AE37" s="26"/>
      <c r="AF37" s="87">
        <v>17961596.48</v>
      </c>
      <c r="AG37" s="87">
        <v>586472.32999999984</v>
      </c>
      <c r="AH37" s="26">
        <v>3.265145894202829E-2</v>
      </c>
      <c r="AI37" s="87">
        <v>68542.260000000009</v>
      </c>
      <c r="AJ37" s="26">
        <v>3.8160449755299261E-3</v>
      </c>
      <c r="AK37" s="26"/>
      <c r="AL37" s="91">
        <v>18902570.98</v>
      </c>
      <c r="AM37" s="91">
        <v>976396.88999999897</v>
      </c>
      <c r="AN37" s="84">
        <f t="shared" si="0"/>
        <v>5.1654184556856456E-2</v>
      </c>
      <c r="AO37" s="91">
        <v>317319.85000000009</v>
      </c>
      <c r="AP37" s="84">
        <f t="shared" si="1"/>
        <v>1.6787126488547119E-2</v>
      </c>
      <c r="AQ37" s="159" t="str">
        <f t="shared" si="2"/>
        <v>OK</v>
      </c>
      <c r="AR37" s="285" t="s">
        <v>18</v>
      </c>
      <c r="AS37" s="288">
        <v>18902570.98</v>
      </c>
      <c r="AT37" s="288">
        <v>976396.88999999897</v>
      </c>
      <c r="AU37" s="222">
        <v>5.1654184556856456E-2</v>
      </c>
      <c r="AV37">
        <v>317319.85000000009</v>
      </c>
      <c r="AW37" s="222">
        <v>1.6787126488547119E-2</v>
      </c>
    </row>
    <row r="38" spans="1:49" x14ac:dyDescent="0.25">
      <c r="A38" s="16" t="s">
        <v>360</v>
      </c>
      <c r="B38" s="35"/>
      <c r="C38" s="35"/>
      <c r="D38" s="26"/>
      <c r="E38" s="35"/>
      <c r="F38" s="26"/>
      <c r="G38" s="26"/>
      <c r="H38" s="35">
        <v>7013654.3099999996</v>
      </c>
      <c r="I38" s="35">
        <v>29339.31</v>
      </c>
      <c r="J38" s="26">
        <v>4.183170242389663E-3</v>
      </c>
      <c r="K38" s="35">
        <v>5357.49</v>
      </c>
      <c r="L38" s="26">
        <v>7.6386570583630603E-4</v>
      </c>
      <c r="M38" s="26"/>
      <c r="N38" s="35">
        <v>11137856.510000002</v>
      </c>
      <c r="O38" s="35">
        <v>332882.07</v>
      </c>
      <c r="P38" s="26">
        <v>2.9887444653387794E-2</v>
      </c>
      <c r="Q38" s="35">
        <v>71306.180000000008</v>
      </c>
      <c r="R38" s="26">
        <v>6.4021456853909494E-3</v>
      </c>
      <c r="S38" s="26"/>
      <c r="T38" s="87">
        <v>10769000.609999999</v>
      </c>
      <c r="U38" s="87">
        <v>72335.28</v>
      </c>
      <c r="V38" s="26">
        <v>6.7169909836229461E-3</v>
      </c>
      <c r="W38" s="87">
        <v>2054.06</v>
      </c>
      <c r="X38" s="26">
        <v>2.9286587408098246E-4</v>
      </c>
      <c r="Y38" s="26"/>
      <c r="Z38" s="87">
        <v>11513718.52</v>
      </c>
      <c r="AA38" s="87">
        <v>69030.62</v>
      </c>
      <c r="AB38" s="26">
        <v>5.9955104756199999E-3</v>
      </c>
      <c r="AC38" s="87">
        <v>0</v>
      </c>
      <c r="AD38" s="26">
        <v>0</v>
      </c>
      <c r="AE38" s="26"/>
      <c r="AF38" s="87">
        <v>12172337.279999999</v>
      </c>
      <c r="AG38" s="87">
        <v>32784.090000000004</v>
      </c>
      <c r="AH38" s="26">
        <v>2.6933274395761738E-3</v>
      </c>
      <c r="AI38" s="87"/>
      <c r="AJ38" s="26">
        <v>0</v>
      </c>
      <c r="AK38" s="26"/>
      <c r="AL38" s="91">
        <v>12080418.92</v>
      </c>
      <c r="AM38" s="91">
        <v>106918.24000000003</v>
      </c>
      <c r="AN38" s="84">
        <f t="shared" si="0"/>
        <v>8.8505407559161062E-3</v>
      </c>
      <c r="AO38" s="91">
        <v>46343.669999999991</v>
      </c>
      <c r="AP38" s="84">
        <f t="shared" si="1"/>
        <v>3.8362634861341372E-3</v>
      </c>
      <c r="AQ38" s="159" t="str">
        <f t="shared" si="2"/>
        <v>No</v>
      </c>
      <c r="AR38" s="285" t="s">
        <v>30</v>
      </c>
      <c r="AS38" s="288">
        <v>12080418.92</v>
      </c>
      <c r="AT38" s="288">
        <v>106918.24000000003</v>
      </c>
      <c r="AU38" s="222">
        <v>8.8505407559161062E-3</v>
      </c>
      <c r="AV38">
        <v>46343.669999999991</v>
      </c>
      <c r="AW38" s="222">
        <v>3.8362634861341372E-3</v>
      </c>
    </row>
    <row r="39" spans="1:49" x14ac:dyDescent="0.25">
      <c r="A39" s="16" t="s">
        <v>19</v>
      </c>
      <c r="B39" s="35">
        <v>7470732</v>
      </c>
      <c r="C39" s="35">
        <v>278906</v>
      </c>
      <c r="D39" s="26">
        <v>3.733315557297464E-2</v>
      </c>
      <c r="E39" s="35">
        <v>80708</v>
      </c>
      <c r="F39" s="26">
        <v>1.0803225172580144E-2</v>
      </c>
      <c r="G39" s="26"/>
      <c r="H39" s="35">
        <v>7440806.1299999999</v>
      </c>
      <c r="I39" s="35">
        <v>263104.62</v>
      </c>
      <c r="J39" s="26">
        <v>3.5359692942302207E-2</v>
      </c>
      <c r="K39" s="35">
        <v>105428.87</v>
      </c>
      <c r="L39" s="26">
        <v>1.4169011819153525E-2</v>
      </c>
      <c r="M39" s="26"/>
      <c r="N39" s="35">
        <v>7827700.5800000001</v>
      </c>
      <c r="O39" s="35">
        <v>31693.7</v>
      </c>
      <c r="P39" s="26">
        <v>4.04891572896622E-3</v>
      </c>
      <c r="Q39" s="35">
        <v>1335</v>
      </c>
      <c r="R39" s="26">
        <v>1.7054816882124533E-4</v>
      </c>
      <c r="S39" s="26"/>
      <c r="T39" s="87">
        <v>8042014.5</v>
      </c>
      <c r="U39" s="87">
        <v>10261.35</v>
      </c>
      <c r="V39" s="26">
        <v>1.2759676073700191E-3</v>
      </c>
      <c r="W39" s="87">
        <v>0</v>
      </c>
      <c r="X39" s="26">
        <v>0</v>
      </c>
      <c r="Y39" s="26"/>
      <c r="Z39" s="87">
        <v>8796220.0500000007</v>
      </c>
      <c r="AA39" s="87">
        <v>122015.74</v>
      </c>
      <c r="AB39" s="26">
        <v>1.3871383310834748E-2</v>
      </c>
      <c r="AC39" s="87">
        <v>52774.83</v>
      </c>
      <c r="AD39" s="26">
        <v>5.9997168897565267E-3</v>
      </c>
      <c r="AE39" s="26"/>
      <c r="AF39" s="87">
        <v>10022708.609999999</v>
      </c>
      <c r="AG39" s="87">
        <v>122940.65</v>
      </c>
      <c r="AH39" s="26">
        <v>1.2266210141771247E-2</v>
      </c>
      <c r="AI39" s="87">
        <v>75317.38</v>
      </c>
      <c r="AJ39" s="26">
        <v>7.514673221653204E-3</v>
      </c>
      <c r="AK39" s="26"/>
      <c r="AL39" s="91">
        <v>10011689.76</v>
      </c>
      <c r="AM39" s="91">
        <v>89666.499999999971</v>
      </c>
      <c r="AN39" s="84">
        <f t="shared" si="0"/>
        <v>8.9561804400139517E-3</v>
      </c>
      <c r="AO39" s="91">
        <v>10846.21</v>
      </c>
      <c r="AP39" s="84">
        <f t="shared" si="1"/>
        <v>1.0833545844912396E-3</v>
      </c>
      <c r="AQ39" s="159" t="str">
        <f t="shared" si="2"/>
        <v>OK</v>
      </c>
      <c r="AR39" s="285" t="s">
        <v>19</v>
      </c>
      <c r="AS39" s="288">
        <v>10011689.76</v>
      </c>
      <c r="AT39" s="288">
        <v>89666.499999999971</v>
      </c>
      <c r="AU39" s="222">
        <v>8.9561804400139517E-3</v>
      </c>
      <c r="AV39">
        <v>10846.21</v>
      </c>
      <c r="AW39" s="222">
        <v>1.0833545844912396E-3</v>
      </c>
    </row>
    <row r="40" spans="1:49" x14ac:dyDescent="0.25">
      <c r="A40" s="16" t="s">
        <v>385</v>
      </c>
      <c r="B40" s="35">
        <v>30405421</v>
      </c>
      <c r="C40" s="35">
        <v>2614728</v>
      </c>
      <c r="D40" s="26">
        <v>8.5995454560553533E-2</v>
      </c>
      <c r="E40" s="35">
        <v>383250</v>
      </c>
      <c r="F40" s="26">
        <v>1.26046602018765E-2</v>
      </c>
      <c r="G40" s="26"/>
      <c r="H40" s="35">
        <v>31422262.539999999</v>
      </c>
      <c r="I40" s="35">
        <v>3363064.8</v>
      </c>
      <c r="J40" s="26">
        <v>0.10702809180971218</v>
      </c>
      <c r="K40" s="35">
        <v>590183.21</v>
      </c>
      <c r="L40" s="26">
        <v>1.8782326996622439E-2</v>
      </c>
      <c r="M40" s="26"/>
      <c r="N40" s="35">
        <v>34555327.399999991</v>
      </c>
      <c r="O40" s="35">
        <v>3226189.7199999993</v>
      </c>
      <c r="P40" s="26">
        <v>9.3363019908762321E-2</v>
      </c>
      <c r="Q40" s="35">
        <v>346426.18000000005</v>
      </c>
      <c r="R40" s="26">
        <v>1.0025261112125945E-2</v>
      </c>
      <c r="S40" s="26"/>
      <c r="T40" s="87">
        <v>34210535.159999996</v>
      </c>
      <c r="U40" s="87">
        <v>2748685.43</v>
      </c>
      <c r="V40" s="26">
        <v>8.0346168720968947E-2</v>
      </c>
      <c r="W40" s="87">
        <v>442152.27</v>
      </c>
      <c r="X40" s="26">
        <v>1.4071305955042156E-2</v>
      </c>
      <c r="Y40" s="26"/>
      <c r="Z40" s="87">
        <v>33646832.749999993</v>
      </c>
      <c r="AA40" s="87">
        <v>2441837.4000000004</v>
      </c>
      <c r="AB40" s="26">
        <v>7.2572578172309568E-2</v>
      </c>
      <c r="AC40" s="87">
        <v>343449.23000000016</v>
      </c>
      <c r="AD40" s="26">
        <v>1.020747576902317E-2</v>
      </c>
      <c r="AE40" s="26"/>
      <c r="AF40" s="87">
        <v>25911628.609999996</v>
      </c>
      <c r="AG40" s="87">
        <v>5056106.2799999965</v>
      </c>
      <c r="AH40" s="26">
        <v>0.19512884952544854</v>
      </c>
      <c r="AI40" s="87">
        <v>1262334.74</v>
      </c>
      <c r="AJ40" s="26">
        <v>4.8716920074750952E-2</v>
      </c>
      <c r="AK40" s="26"/>
      <c r="AL40" s="91">
        <v>27035739.859999999</v>
      </c>
      <c r="AM40" s="91">
        <v>4097490.5699999989</v>
      </c>
      <c r="AN40" s="84">
        <f t="shared" si="0"/>
        <v>0.15155829251273167</v>
      </c>
      <c r="AO40" s="91">
        <v>427601.56000000011</v>
      </c>
      <c r="AP40" s="84">
        <f t="shared" si="1"/>
        <v>1.5816158988592965E-2</v>
      </c>
      <c r="AQ40" s="159" t="str">
        <f t="shared" si="2"/>
        <v>OK</v>
      </c>
      <c r="AR40" s="285" t="s">
        <v>385</v>
      </c>
      <c r="AS40" s="288">
        <v>27035739.859999999</v>
      </c>
      <c r="AT40" s="288">
        <v>4097490.5699999989</v>
      </c>
      <c r="AU40" s="222">
        <v>0.15155829251273167</v>
      </c>
      <c r="AV40">
        <v>427601.56000000011</v>
      </c>
      <c r="AW40" s="222">
        <v>1.5816158988592965E-2</v>
      </c>
    </row>
    <row r="41" spans="1:49" x14ac:dyDescent="0.25">
      <c r="A41" s="16" t="s">
        <v>31</v>
      </c>
      <c r="B41" s="35">
        <v>31081812</v>
      </c>
      <c r="C41" s="35">
        <v>139174</v>
      </c>
      <c r="D41" s="26">
        <v>4.4776668747626425E-3</v>
      </c>
      <c r="E41" s="35">
        <v>6208</v>
      </c>
      <c r="F41" s="26">
        <v>1.9973095519656319E-4</v>
      </c>
      <c r="G41" s="26"/>
      <c r="H41" s="35">
        <v>30407324.059999999</v>
      </c>
      <c r="I41" s="35">
        <v>125464.10999999999</v>
      </c>
      <c r="J41" s="26">
        <v>4.1261148055130765E-3</v>
      </c>
      <c r="K41" s="35">
        <v>24660.300000000003</v>
      </c>
      <c r="L41" s="26">
        <v>8.1099869068846969E-4</v>
      </c>
      <c r="M41" s="26"/>
      <c r="N41" s="35">
        <v>32159767.470000003</v>
      </c>
      <c r="O41" s="35">
        <v>252943.41999999998</v>
      </c>
      <c r="P41" s="26">
        <v>7.8652129632453462E-3</v>
      </c>
      <c r="Q41" s="35">
        <v>103808.09000000001</v>
      </c>
      <c r="R41" s="26">
        <v>3.2278868339715642E-3</v>
      </c>
      <c r="S41" s="26"/>
      <c r="T41" s="87">
        <v>32673503.070000004</v>
      </c>
      <c r="U41" s="87">
        <v>166480.63999999998</v>
      </c>
      <c r="V41" s="26">
        <v>5.0952797942519475E-3</v>
      </c>
      <c r="W41" s="87">
        <v>54438.45</v>
      </c>
      <c r="X41" s="26">
        <v>1.7903071606229332E-3</v>
      </c>
      <c r="Y41" s="26"/>
      <c r="Z41" s="87">
        <v>33755204.050000004</v>
      </c>
      <c r="AA41" s="87">
        <v>134689.10999999999</v>
      </c>
      <c r="AB41" s="26">
        <v>3.990173183385036E-3</v>
      </c>
      <c r="AC41" s="87">
        <v>86748.5</v>
      </c>
      <c r="AD41" s="26">
        <v>2.5699296580018747E-3</v>
      </c>
      <c r="AE41" s="26"/>
      <c r="AF41" s="87">
        <v>36544640.450000003</v>
      </c>
      <c r="AG41" s="87">
        <v>110182.54999999997</v>
      </c>
      <c r="AH41" s="26">
        <v>3.0150125611647649E-3</v>
      </c>
      <c r="AI41" s="87">
        <v>34358</v>
      </c>
      <c r="AJ41" s="26">
        <v>9.401652219566439E-4</v>
      </c>
      <c r="AK41" s="26"/>
      <c r="AL41" s="91">
        <v>32278116.260000002</v>
      </c>
      <c r="AM41" s="91">
        <v>191591.11999999997</v>
      </c>
      <c r="AN41" s="84">
        <f t="shared" si="0"/>
        <v>5.9356351051199777E-3</v>
      </c>
      <c r="AO41" s="91">
        <v>10642.46</v>
      </c>
      <c r="AP41" s="84">
        <f t="shared" si="1"/>
        <v>3.2971131011100702E-4</v>
      </c>
      <c r="AQ41" s="159" t="str">
        <f t="shared" si="2"/>
        <v>OK</v>
      </c>
      <c r="AR41" s="285" t="s">
        <v>31</v>
      </c>
      <c r="AS41" s="288">
        <v>32278116.260000002</v>
      </c>
      <c r="AT41" s="288">
        <v>191591.11999999997</v>
      </c>
      <c r="AU41" s="222">
        <v>5.9356351051199777E-3</v>
      </c>
      <c r="AV41">
        <v>10642.46</v>
      </c>
      <c r="AW41" s="222">
        <v>3.2971131011100702E-4</v>
      </c>
    </row>
    <row r="42" spans="1:49" x14ac:dyDescent="0.25">
      <c r="A42" s="16" t="s">
        <v>20</v>
      </c>
      <c r="B42" s="35">
        <v>28642017</v>
      </c>
      <c r="C42" s="35">
        <v>397876</v>
      </c>
      <c r="D42" s="26">
        <v>1.3891340124545E-2</v>
      </c>
      <c r="E42" s="35">
        <v>149040</v>
      </c>
      <c r="F42" s="26">
        <v>5.2035441498411231E-3</v>
      </c>
      <c r="G42" s="26"/>
      <c r="H42" s="35">
        <v>28424472.259999994</v>
      </c>
      <c r="I42" s="35">
        <v>2326910.33</v>
      </c>
      <c r="J42" s="26">
        <v>8.1862921102479613E-2</v>
      </c>
      <c r="K42" s="35">
        <v>930068.7</v>
      </c>
      <c r="L42" s="26">
        <v>3.2720702481038783E-2</v>
      </c>
      <c r="M42" s="26"/>
      <c r="N42" s="35">
        <v>27958890.930000007</v>
      </c>
      <c r="O42" s="35">
        <v>1129342.3999999999</v>
      </c>
      <c r="P42" s="26">
        <v>4.0392961324092105E-2</v>
      </c>
      <c r="Q42" s="35">
        <v>430236.43999999994</v>
      </c>
      <c r="R42" s="26">
        <v>1.5388179777129659E-2</v>
      </c>
      <c r="S42" s="26"/>
      <c r="T42" s="87">
        <v>28892953.979999997</v>
      </c>
      <c r="U42" s="87">
        <v>1872740.1200000003</v>
      </c>
      <c r="V42" s="26">
        <v>6.481649890476171E-2</v>
      </c>
      <c r="W42" s="87">
        <v>768667.60000000009</v>
      </c>
      <c r="X42" s="26">
        <v>2.7042458096282709E-2</v>
      </c>
      <c r="Y42" s="26"/>
      <c r="Z42" s="87">
        <v>29973462.350000005</v>
      </c>
      <c r="AA42" s="87">
        <v>1693681.6200000003</v>
      </c>
      <c r="AB42" s="26">
        <v>5.6506038582492958E-2</v>
      </c>
      <c r="AC42" s="87">
        <v>631102.95000000007</v>
      </c>
      <c r="AD42" s="26">
        <v>2.1055390352659742E-2</v>
      </c>
      <c r="AE42" s="26"/>
      <c r="AF42" s="87">
        <v>31390435.940000009</v>
      </c>
      <c r="AG42" s="87">
        <v>2150582.5999999987</v>
      </c>
      <c r="AH42" s="26">
        <v>6.8510759267907062E-2</v>
      </c>
      <c r="AI42" s="87">
        <v>425530.86999999988</v>
      </c>
      <c r="AJ42" s="26">
        <v>1.355606754915299E-2</v>
      </c>
      <c r="AK42" s="26"/>
      <c r="AL42" s="91">
        <v>32801884.189999998</v>
      </c>
      <c r="AM42" s="91">
        <v>1183215.2300000002</v>
      </c>
      <c r="AN42" s="84">
        <f t="shared" si="0"/>
        <v>3.6071562936641183E-2</v>
      </c>
      <c r="AO42" s="91">
        <v>485032.61000000004</v>
      </c>
      <c r="AP42" s="84">
        <f t="shared" si="1"/>
        <v>1.4786730152162033E-2</v>
      </c>
      <c r="AQ42" s="159" t="str">
        <f t="shared" si="2"/>
        <v>OK</v>
      </c>
      <c r="AR42" s="285" t="s">
        <v>20</v>
      </c>
      <c r="AS42" s="288">
        <v>32801884.189999998</v>
      </c>
      <c r="AT42" s="288">
        <v>1183215.2300000002</v>
      </c>
      <c r="AU42" s="222">
        <v>3.6071562936641183E-2</v>
      </c>
      <c r="AV42">
        <v>485032.61000000004</v>
      </c>
      <c r="AW42" s="222">
        <v>1.4786730152162033E-2</v>
      </c>
    </row>
    <row r="43" spans="1:49" x14ac:dyDescent="0.25">
      <c r="A43" s="16" t="s">
        <v>42</v>
      </c>
      <c r="B43" s="35">
        <v>69911617</v>
      </c>
      <c r="C43" s="35">
        <v>3707442</v>
      </c>
      <c r="D43" s="26">
        <v>5.3030414101278761E-2</v>
      </c>
      <c r="E43" s="35">
        <v>1057942</v>
      </c>
      <c r="F43" s="26">
        <v>1.5132563734007183E-2</v>
      </c>
      <c r="G43" s="26"/>
      <c r="H43" s="35">
        <v>72092119.439999998</v>
      </c>
      <c r="I43" s="35">
        <v>4223247.879999998</v>
      </c>
      <c r="J43" s="26">
        <v>5.8581269531337257E-2</v>
      </c>
      <c r="K43" s="35">
        <v>2389169.6399999997</v>
      </c>
      <c r="L43" s="26">
        <v>3.3140510482403428E-2</v>
      </c>
      <c r="M43" s="26"/>
      <c r="N43" s="35">
        <v>74191462.180000007</v>
      </c>
      <c r="O43" s="35">
        <v>1327221.9500000002</v>
      </c>
      <c r="P43" s="26">
        <v>1.7889146688873089E-2</v>
      </c>
      <c r="Q43" s="35">
        <v>331505.75</v>
      </c>
      <c r="R43" s="26">
        <v>4.4682466184008552E-3</v>
      </c>
      <c r="S43" s="26"/>
      <c r="T43" s="87">
        <v>77981333.159999996</v>
      </c>
      <c r="U43" s="87">
        <v>1749184.1400000006</v>
      </c>
      <c r="V43" s="26">
        <v>2.2430805798242404E-2</v>
      </c>
      <c r="W43" s="87">
        <v>293118.32999999984</v>
      </c>
      <c r="X43" s="26">
        <v>4.065885873198013E-3</v>
      </c>
      <c r="Y43" s="26"/>
      <c r="Z43" s="87">
        <v>81933299.61999996</v>
      </c>
      <c r="AA43" s="87">
        <v>1729472.1</v>
      </c>
      <c r="AB43" s="26">
        <v>2.1108293063029956E-2</v>
      </c>
      <c r="AC43" s="87">
        <v>442123.72</v>
      </c>
      <c r="AD43" s="26">
        <v>5.3961420088112421E-3</v>
      </c>
      <c r="AE43" s="26"/>
      <c r="AF43" s="87">
        <v>86089811.99999997</v>
      </c>
      <c r="AG43" s="87">
        <v>2454200.7299999967</v>
      </c>
      <c r="AH43" s="26">
        <v>2.8507446734812217E-2</v>
      </c>
      <c r="AI43" s="87">
        <v>966657.37999999884</v>
      </c>
      <c r="AJ43" s="26">
        <v>1.1228475908392032E-2</v>
      </c>
      <c r="AK43" s="26"/>
      <c r="AL43" s="91">
        <v>87153447.830000028</v>
      </c>
      <c r="AM43" s="91">
        <v>2348049.0799999977</v>
      </c>
      <c r="AN43" s="84">
        <f t="shared" si="0"/>
        <v>2.6941551234783742E-2</v>
      </c>
      <c r="AO43" s="91">
        <v>642734.56000000017</v>
      </c>
      <c r="AP43" s="84">
        <f t="shared" si="1"/>
        <v>7.3747462206395645E-3</v>
      </c>
      <c r="AQ43" s="159" t="str">
        <f t="shared" si="2"/>
        <v>No</v>
      </c>
      <c r="AR43" s="285" t="s">
        <v>408</v>
      </c>
      <c r="AS43" s="288">
        <v>87153447.830000028</v>
      </c>
      <c r="AT43" s="288">
        <v>2348049.0799999977</v>
      </c>
      <c r="AU43" s="222">
        <v>2.6941551234783742E-2</v>
      </c>
      <c r="AV43">
        <v>642734.56000000017</v>
      </c>
      <c r="AW43" s="222">
        <v>7.3747462206395645E-3</v>
      </c>
    </row>
    <row r="44" spans="1:49" x14ac:dyDescent="0.25">
      <c r="A44" s="16" t="s">
        <v>43</v>
      </c>
      <c r="B44" s="35">
        <v>61279817</v>
      </c>
      <c r="C44" s="35">
        <v>2276382</v>
      </c>
      <c r="D44" s="26">
        <v>3.7147336781374524E-2</v>
      </c>
      <c r="E44" s="35">
        <v>960155</v>
      </c>
      <c r="F44" s="26">
        <v>1.5668372508357849E-2</v>
      </c>
      <c r="G44" s="26"/>
      <c r="H44" s="35">
        <v>65182266.359999977</v>
      </c>
      <c r="I44" s="35">
        <v>9966357.790000001</v>
      </c>
      <c r="J44" s="26">
        <v>0.15289983528581322</v>
      </c>
      <c r="K44" s="35">
        <v>3825209.0999999992</v>
      </c>
      <c r="L44" s="26">
        <v>5.8684812812022639E-2</v>
      </c>
      <c r="M44" s="26"/>
      <c r="N44" s="35">
        <v>67957766.090000004</v>
      </c>
      <c r="O44" s="35">
        <v>4285123.3199999994</v>
      </c>
      <c r="P44" s="26">
        <v>6.3055682470859742E-2</v>
      </c>
      <c r="Q44" s="35">
        <v>1040553.57</v>
      </c>
      <c r="R44" s="26">
        <v>1.5311768321253243E-2</v>
      </c>
      <c r="S44" s="26"/>
      <c r="T44" s="87">
        <v>70114985.319999978</v>
      </c>
      <c r="U44" s="87">
        <v>6478381.9300000016</v>
      </c>
      <c r="V44" s="26">
        <v>9.2396538349585486E-2</v>
      </c>
      <c r="W44" s="87">
        <v>2639613.0300000003</v>
      </c>
      <c r="X44" s="26">
        <v>4.0495876829772771E-2</v>
      </c>
      <c r="Y44" s="26"/>
      <c r="Z44" s="87">
        <v>71158850.00999999</v>
      </c>
      <c r="AA44" s="87">
        <v>2789325.1700000009</v>
      </c>
      <c r="AB44" s="26">
        <v>3.9198570095048131E-2</v>
      </c>
      <c r="AC44" s="87">
        <v>805124.00999999989</v>
      </c>
      <c r="AD44" s="26">
        <v>1.1314460673364668E-2</v>
      </c>
      <c r="AE44" s="26"/>
      <c r="AF44" s="87">
        <v>70580532.390000015</v>
      </c>
      <c r="AG44" s="87">
        <v>1933643.99</v>
      </c>
      <c r="AH44" s="26">
        <v>2.7396279462946673E-2</v>
      </c>
      <c r="AI44" s="87">
        <v>500620.19000000012</v>
      </c>
      <c r="AJ44" s="26">
        <v>7.0928933665981948E-3</v>
      </c>
      <c r="AK44" s="26"/>
      <c r="AL44" s="91">
        <v>69381441.519999996</v>
      </c>
      <c r="AM44" s="91">
        <v>1644575.6799999997</v>
      </c>
      <c r="AN44" s="84">
        <f t="shared" si="0"/>
        <v>2.3703394509696545E-2</v>
      </c>
      <c r="AO44" s="91">
        <v>319885.47999999992</v>
      </c>
      <c r="AP44" s="84">
        <f t="shared" si="1"/>
        <v>4.6105337824061971E-3</v>
      </c>
      <c r="AQ44" s="159" t="str">
        <f t="shared" si="2"/>
        <v>No</v>
      </c>
      <c r="AR44" s="285" t="s">
        <v>409</v>
      </c>
      <c r="AS44" s="288">
        <v>69381441.519999996</v>
      </c>
      <c r="AT44" s="288">
        <v>1644575.6799999997</v>
      </c>
      <c r="AU44" s="222">
        <v>2.3703394509696545E-2</v>
      </c>
      <c r="AV44">
        <v>319885.47999999992</v>
      </c>
      <c r="AW44" s="222">
        <v>4.6105337824061971E-3</v>
      </c>
    </row>
    <row r="45" spans="1:49" x14ac:dyDescent="0.25">
      <c r="A45" s="16" t="s">
        <v>34</v>
      </c>
      <c r="B45" s="35">
        <v>3200838</v>
      </c>
      <c r="C45" s="35">
        <v>0</v>
      </c>
      <c r="D45" s="26">
        <v>0</v>
      </c>
      <c r="E45" s="35">
        <v>0</v>
      </c>
      <c r="F45" s="26">
        <v>0</v>
      </c>
      <c r="G45" s="26"/>
      <c r="H45" s="35">
        <v>3814575.41</v>
      </c>
      <c r="I45" s="35">
        <v>330.84</v>
      </c>
      <c r="J45" s="26">
        <v>8.6730491454617742E-5</v>
      </c>
      <c r="K45" s="35">
        <v>0</v>
      </c>
      <c r="L45" s="26">
        <v>0</v>
      </c>
      <c r="M45" s="26"/>
      <c r="N45" s="35">
        <v>4582397.62</v>
      </c>
      <c r="O45" s="35">
        <v>153980.76</v>
      </c>
      <c r="P45" s="26">
        <v>3.3602662354734726E-2</v>
      </c>
      <c r="Q45" s="35">
        <v>107604.66</v>
      </c>
      <c r="R45" s="26">
        <v>2.34821743818905E-2</v>
      </c>
      <c r="S45" s="26"/>
      <c r="T45" s="87">
        <v>4099934.49</v>
      </c>
      <c r="U45" s="87">
        <v>14433.33</v>
      </c>
      <c r="V45" s="26">
        <v>3.5203806390574788E-3</v>
      </c>
      <c r="W45" s="87">
        <v>0</v>
      </c>
      <c r="X45" s="26">
        <v>0</v>
      </c>
      <c r="Y45" s="26"/>
      <c r="Z45" s="87">
        <v>5839695.25</v>
      </c>
      <c r="AA45" s="87">
        <v>0</v>
      </c>
      <c r="AB45" s="26">
        <v>0</v>
      </c>
      <c r="AC45" s="87">
        <v>0</v>
      </c>
      <c r="AD45" s="26">
        <v>0</v>
      </c>
      <c r="AE45" s="26"/>
      <c r="AF45" s="87">
        <v>4507023.97</v>
      </c>
      <c r="AG45" s="87">
        <v>15000</v>
      </c>
      <c r="AH45" s="26">
        <v>3.3281385011138514E-3</v>
      </c>
      <c r="AI45" s="87"/>
      <c r="AJ45" s="26">
        <v>0</v>
      </c>
      <c r="AK45" s="26"/>
      <c r="AL45" s="91">
        <v>4837789.8099999996</v>
      </c>
      <c r="AM45" s="91">
        <v>9408.5</v>
      </c>
      <c r="AN45" s="84">
        <f t="shared" si="0"/>
        <v>1.94479305003125E-3</v>
      </c>
      <c r="AO45" s="91"/>
      <c r="AP45" s="84">
        <f t="shared" si="1"/>
        <v>0</v>
      </c>
      <c r="AQ45" s="159" t="str">
        <f t="shared" si="2"/>
        <v>OK</v>
      </c>
      <c r="AR45" s="285" t="s">
        <v>34</v>
      </c>
      <c r="AS45" s="288">
        <v>4837789.8099999996</v>
      </c>
      <c r="AT45" s="288">
        <v>9408.5</v>
      </c>
      <c r="AU45" s="222">
        <v>1.94479305003125E-3</v>
      </c>
      <c r="AW45" s="222">
        <v>0</v>
      </c>
    </row>
    <row r="46" spans="1:49" x14ac:dyDescent="0.25">
      <c r="A46" s="16" t="s">
        <v>35</v>
      </c>
      <c r="B46" s="35">
        <v>630417</v>
      </c>
      <c r="C46" s="35">
        <v>0</v>
      </c>
      <c r="D46" s="26">
        <v>0</v>
      </c>
      <c r="E46" s="35">
        <v>0</v>
      </c>
      <c r="F46" s="26">
        <v>0</v>
      </c>
      <c r="G46" s="26"/>
      <c r="H46" s="35">
        <v>646565.37</v>
      </c>
      <c r="I46" s="35">
        <v>0</v>
      </c>
      <c r="J46" s="26">
        <v>0</v>
      </c>
      <c r="K46" s="35">
        <v>0</v>
      </c>
      <c r="L46" s="26">
        <v>0</v>
      </c>
      <c r="M46" s="26"/>
      <c r="N46" s="35">
        <v>641938.41</v>
      </c>
      <c r="O46" s="35">
        <v>0</v>
      </c>
      <c r="P46" s="26">
        <v>0</v>
      </c>
      <c r="Q46" s="35">
        <v>0</v>
      </c>
      <c r="R46" s="26">
        <v>0</v>
      </c>
      <c r="S46" s="26"/>
      <c r="T46" s="87">
        <v>658295.02</v>
      </c>
      <c r="U46" s="87">
        <v>0</v>
      </c>
      <c r="V46" s="26">
        <v>0</v>
      </c>
      <c r="W46" s="87">
        <v>0</v>
      </c>
      <c r="X46" s="26">
        <v>0</v>
      </c>
      <c r="Y46" s="26"/>
      <c r="Z46" s="87">
        <v>691330.19</v>
      </c>
      <c r="AA46" s="87">
        <v>0</v>
      </c>
      <c r="AB46" s="26">
        <v>0</v>
      </c>
      <c r="AC46" s="87">
        <v>0</v>
      </c>
      <c r="AD46" s="26">
        <v>0</v>
      </c>
      <c r="AE46" s="26"/>
      <c r="AF46" s="87">
        <v>725475.2</v>
      </c>
      <c r="AG46" s="87">
        <v>8964.89</v>
      </c>
      <c r="AH46" s="26">
        <v>1.2357265968567913E-2</v>
      </c>
      <c r="AI46" s="87"/>
      <c r="AJ46" s="26">
        <v>0</v>
      </c>
      <c r="AK46" s="26"/>
      <c r="AL46" s="91">
        <v>738174.68</v>
      </c>
      <c r="AM46" s="91"/>
      <c r="AN46" s="84">
        <f t="shared" si="0"/>
        <v>0</v>
      </c>
      <c r="AO46" s="91"/>
      <c r="AP46" s="84">
        <f t="shared" si="1"/>
        <v>0</v>
      </c>
      <c r="AQ46" s="159" t="str">
        <f t="shared" si="2"/>
        <v>OK</v>
      </c>
      <c r="AR46" s="285" t="s">
        <v>35</v>
      </c>
      <c r="AS46" s="288">
        <v>738174.68</v>
      </c>
      <c r="AT46" s="288"/>
      <c r="AU46" s="222">
        <v>0</v>
      </c>
      <c r="AW46" s="222">
        <v>0</v>
      </c>
    </row>
    <row r="47" spans="1:49" x14ac:dyDescent="0.25">
      <c r="A47" s="16" t="s">
        <v>386</v>
      </c>
      <c r="B47" s="35">
        <v>8960857</v>
      </c>
      <c r="C47" s="35">
        <v>97718</v>
      </c>
      <c r="D47" s="26">
        <v>1.0904983753228067E-2</v>
      </c>
      <c r="E47" s="35">
        <v>8942</v>
      </c>
      <c r="F47" s="26">
        <v>9.9789562538493801E-4</v>
      </c>
      <c r="G47" s="26"/>
      <c r="H47" s="35">
        <v>9059058.0899999999</v>
      </c>
      <c r="I47" s="35">
        <v>126720.43</v>
      </c>
      <c r="J47" s="26">
        <v>1.3988256697446565E-2</v>
      </c>
      <c r="K47" s="35">
        <v>0</v>
      </c>
      <c r="L47" s="26">
        <v>0</v>
      </c>
      <c r="M47" s="26"/>
      <c r="N47" s="35">
        <v>9694088.5199999996</v>
      </c>
      <c r="O47" s="35">
        <v>161224.59</v>
      </c>
      <c r="P47" s="26">
        <v>1.6631227336884272E-2</v>
      </c>
      <c r="Q47" s="35">
        <v>7779.35</v>
      </c>
      <c r="R47" s="26">
        <v>8.0248390387093361E-4</v>
      </c>
      <c r="S47" s="26"/>
      <c r="T47" s="87">
        <v>9931150.4199999999</v>
      </c>
      <c r="U47" s="87">
        <v>169987.26</v>
      </c>
      <c r="V47" s="26">
        <v>1.7116572885420057E-2</v>
      </c>
      <c r="W47" s="87">
        <v>61207.909999999996</v>
      </c>
      <c r="X47" s="26">
        <v>6.7565423901592399E-3</v>
      </c>
      <c r="Y47" s="26"/>
      <c r="Z47" s="87">
        <v>10689424.470000003</v>
      </c>
      <c r="AA47" s="87">
        <v>35547.979999999996</v>
      </c>
      <c r="AB47" s="26">
        <v>3.3255279645565414E-3</v>
      </c>
      <c r="AC47" s="87">
        <v>0</v>
      </c>
      <c r="AD47" s="26">
        <v>0</v>
      </c>
      <c r="AE47" s="26"/>
      <c r="AF47" s="87">
        <v>11707847.209999999</v>
      </c>
      <c r="AG47" s="87">
        <v>154544.03999999995</v>
      </c>
      <c r="AH47" s="26">
        <v>1.320003901895812E-2</v>
      </c>
      <c r="AI47" s="87"/>
      <c r="AJ47" s="26">
        <v>0</v>
      </c>
      <c r="AK47" s="26"/>
      <c r="AL47" s="91">
        <v>12311482.620000001</v>
      </c>
      <c r="AM47" s="91">
        <v>250487.80999999997</v>
      </c>
      <c r="AN47" s="84">
        <f t="shared" si="0"/>
        <v>2.0345868790252977E-2</v>
      </c>
      <c r="AO47" s="91">
        <v>18917.87</v>
      </c>
      <c r="AP47" s="84">
        <f t="shared" si="1"/>
        <v>1.5366037206004681E-3</v>
      </c>
      <c r="AQ47" s="159" t="str">
        <f t="shared" si="2"/>
        <v>OK</v>
      </c>
      <c r="AR47" s="285" t="s">
        <v>386</v>
      </c>
      <c r="AS47" s="288">
        <v>12311482.620000001</v>
      </c>
      <c r="AT47" s="288">
        <v>250487.80999999997</v>
      </c>
      <c r="AU47" s="222">
        <v>2.0345868790252977E-2</v>
      </c>
      <c r="AV47">
        <v>18917.87</v>
      </c>
      <c r="AW47" s="222">
        <v>1.5366037206004681E-3</v>
      </c>
    </row>
    <row r="48" spans="1:49" x14ac:dyDescent="0.25">
      <c r="A48" s="16" t="s">
        <v>36</v>
      </c>
      <c r="B48" s="35">
        <v>14371336</v>
      </c>
      <c r="C48" s="35">
        <v>413256</v>
      </c>
      <c r="D48" s="26">
        <v>2.8755572898720064E-2</v>
      </c>
      <c r="E48" s="35">
        <v>217958</v>
      </c>
      <c r="F48" s="26">
        <v>1.5166161308872049E-2</v>
      </c>
      <c r="G48" s="26"/>
      <c r="H48" s="35">
        <v>15084982.17</v>
      </c>
      <c r="I48" s="35">
        <v>265932.07</v>
      </c>
      <c r="J48" s="26">
        <v>1.7628928360874558E-2</v>
      </c>
      <c r="K48" s="35">
        <v>36.26</v>
      </c>
      <c r="L48" s="26">
        <v>2.40371513810016E-6</v>
      </c>
      <c r="M48" s="26"/>
      <c r="N48" s="35">
        <v>15650635.289999997</v>
      </c>
      <c r="O48" s="35">
        <v>33759.1</v>
      </c>
      <c r="P48" s="26">
        <v>2.1570434282351743E-3</v>
      </c>
      <c r="Q48" s="35">
        <v>0</v>
      </c>
      <c r="R48" s="26">
        <v>0</v>
      </c>
      <c r="S48" s="26"/>
      <c r="T48" s="87">
        <v>15870382.540000001</v>
      </c>
      <c r="U48" s="87">
        <v>25050.67</v>
      </c>
      <c r="V48" s="26">
        <v>1.578454075499556E-3</v>
      </c>
      <c r="W48" s="87">
        <v>0</v>
      </c>
      <c r="X48" s="26">
        <v>0</v>
      </c>
      <c r="Y48" s="26"/>
      <c r="Z48" s="87">
        <v>16497895.48</v>
      </c>
      <c r="AA48" s="87">
        <v>121559.02999999998</v>
      </c>
      <c r="AB48" s="26">
        <v>7.3681537228407739E-3</v>
      </c>
      <c r="AC48" s="87">
        <v>0</v>
      </c>
      <c r="AD48" s="26">
        <v>0</v>
      </c>
      <c r="AE48" s="26"/>
      <c r="AF48" s="87">
        <v>17008038.670000002</v>
      </c>
      <c r="AG48" s="87">
        <v>242193.22999999998</v>
      </c>
      <c r="AH48" s="26">
        <v>1.4239927054446188E-2</v>
      </c>
      <c r="AI48" s="87">
        <v>22663.420000000002</v>
      </c>
      <c r="AJ48" s="26">
        <v>1.3325122572760471E-3</v>
      </c>
      <c r="AK48" s="26"/>
      <c r="AL48" s="91">
        <v>17055753.310000002</v>
      </c>
      <c r="AM48" s="91">
        <v>31438.48</v>
      </c>
      <c r="AN48" s="84">
        <f t="shared" si="0"/>
        <v>1.843277129340703E-3</v>
      </c>
      <c r="AO48" s="91"/>
      <c r="AP48" s="84">
        <f t="shared" si="1"/>
        <v>0</v>
      </c>
      <c r="AQ48" s="159" t="str">
        <f t="shared" si="2"/>
        <v>OK</v>
      </c>
      <c r="AR48" s="285" t="s">
        <v>36</v>
      </c>
      <c r="AS48" s="288">
        <v>17055753.310000002</v>
      </c>
      <c r="AT48" s="288">
        <v>31438.48</v>
      </c>
      <c r="AU48" s="222">
        <v>1.843277129340703E-3</v>
      </c>
      <c r="AW48" s="222">
        <v>0</v>
      </c>
    </row>
    <row r="49" spans="1:49" x14ac:dyDescent="0.25">
      <c r="A49" s="16" t="s">
        <v>38</v>
      </c>
      <c r="B49" s="35">
        <v>1399763</v>
      </c>
      <c r="C49" s="35">
        <v>0</v>
      </c>
      <c r="D49" s="26">
        <v>0</v>
      </c>
      <c r="E49" s="35">
        <v>0</v>
      </c>
      <c r="F49" s="26">
        <v>0</v>
      </c>
      <c r="G49" s="26"/>
      <c r="H49" s="35">
        <v>1412727.14</v>
      </c>
      <c r="I49" s="35">
        <v>0</v>
      </c>
      <c r="J49" s="26">
        <v>0</v>
      </c>
      <c r="K49" s="35">
        <v>0</v>
      </c>
      <c r="L49" s="26">
        <v>0</v>
      </c>
      <c r="M49" s="26"/>
      <c r="N49" s="35">
        <v>1445615.9300000002</v>
      </c>
      <c r="O49" s="35">
        <v>0</v>
      </c>
      <c r="P49" s="26">
        <v>0</v>
      </c>
      <c r="Q49" s="35">
        <v>0</v>
      </c>
      <c r="R49" s="26">
        <v>0</v>
      </c>
      <c r="S49" s="26"/>
      <c r="T49" s="87">
        <v>1526995.56</v>
      </c>
      <c r="U49" s="87">
        <v>0</v>
      </c>
      <c r="V49" s="26">
        <v>0</v>
      </c>
      <c r="W49" s="87">
        <v>0</v>
      </c>
      <c r="X49" s="26">
        <v>0</v>
      </c>
      <c r="Y49" s="26"/>
      <c r="Z49" s="87">
        <v>1536595.76</v>
      </c>
      <c r="AA49" s="87">
        <v>4461.54</v>
      </c>
      <c r="AB49" s="26">
        <v>2.9035222640468564E-3</v>
      </c>
      <c r="AC49" s="87">
        <v>0</v>
      </c>
      <c r="AD49" s="26">
        <v>0</v>
      </c>
      <c r="AE49" s="26"/>
      <c r="AF49" s="87">
        <v>1610404.72</v>
      </c>
      <c r="AG49" s="87"/>
      <c r="AH49" s="26">
        <v>0</v>
      </c>
      <c r="AI49" s="87"/>
      <c r="AJ49" s="26">
        <v>0</v>
      </c>
      <c r="AK49" s="26"/>
      <c r="AL49" s="91">
        <v>1637890.04</v>
      </c>
      <c r="AM49" s="91"/>
      <c r="AN49" s="84">
        <f t="shared" si="0"/>
        <v>0</v>
      </c>
      <c r="AO49" s="91"/>
      <c r="AP49" s="84">
        <f t="shared" si="1"/>
        <v>0</v>
      </c>
      <c r="AQ49" s="159" t="str">
        <f t="shared" si="2"/>
        <v>OK</v>
      </c>
      <c r="AR49" s="285" t="s">
        <v>38</v>
      </c>
      <c r="AS49" s="288">
        <v>1637890.04</v>
      </c>
      <c r="AT49" s="288"/>
      <c r="AU49" s="222">
        <v>0</v>
      </c>
      <c r="AW49" s="222">
        <v>0</v>
      </c>
    </row>
    <row r="50" spans="1:49" x14ac:dyDescent="0.25">
      <c r="A50" s="16" t="s">
        <v>39</v>
      </c>
      <c r="B50" s="35">
        <v>57540574</v>
      </c>
      <c r="C50" s="35">
        <v>1939305</v>
      </c>
      <c r="D50" s="26">
        <v>3.3703261284810958E-2</v>
      </c>
      <c r="E50" s="35">
        <v>396599</v>
      </c>
      <c r="F50" s="26">
        <v>6.8925103180235911E-3</v>
      </c>
      <c r="G50" s="26"/>
      <c r="H50" s="35">
        <v>60846418.109999999</v>
      </c>
      <c r="I50" s="35">
        <v>1568683.0000000002</v>
      </c>
      <c r="J50" s="26">
        <v>2.5781024565227285E-2</v>
      </c>
      <c r="K50" s="35">
        <v>425159.54</v>
      </c>
      <c r="L50" s="26">
        <v>6.9874210053151144E-3</v>
      </c>
      <c r="M50" s="26"/>
      <c r="N50" s="35">
        <v>63442903.780000001</v>
      </c>
      <c r="O50" s="35">
        <v>3036248.6999999997</v>
      </c>
      <c r="P50" s="26">
        <v>4.7857971799789518E-2</v>
      </c>
      <c r="Q50" s="35">
        <v>1076037.7000000002</v>
      </c>
      <c r="R50" s="26">
        <v>1.6960725879309684E-2</v>
      </c>
      <c r="S50" s="26"/>
      <c r="T50" s="87">
        <v>69580624.709999993</v>
      </c>
      <c r="U50" s="87">
        <v>2453341.2600000002</v>
      </c>
      <c r="V50" s="26">
        <v>3.5258971448231487E-2</v>
      </c>
      <c r="W50" s="87">
        <v>436403.83000000007</v>
      </c>
      <c r="X50" s="26">
        <v>7.1722189005613444E-3</v>
      </c>
      <c r="Y50" s="26"/>
      <c r="Z50" s="87">
        <v>66533874.679999985</v>
      </c>
      <c r="AA50" s="87">
        <v>1539294.1700000004</v>
      </c>
      <c r="AB50" s="26">
        <v>2.3135495676501021E-2</v>
      </c>
      <c r="AC50" s="87">
        <v>247617.46000000002</v>
      </c>
      <c r="AD50" s="26">
        <v>3.7216750293130544E-3</v>
      </c>
      <c r="AE50" s="26"/>
      <c r="AF50" s="87">
        <v>57739974.999999993</v>
      </c>
      <c r="AG50" s="87">
        <v>1205157.4599999986</v>
      </c>
      <c r="AH50" s="26">
        <v>2.0872150706681095E-2</v>
      </c>
      <c r="AI50" s="87">
        <v>443403.05999999994</v>
      </c>
      <c r="AJ50" s="26">
        <v>7.6793081396380929E-3</v>
      </c>
      <c r="AK50" s="26"/>
      <c r="AL50" s="91">
        <v>58434321.399999999</v>
      </c>
      <c r="AM50" s="91">
        <v>1209943.6300000001</v>
      </c>
      <c r="AN50" s="84">
        <f t="shared" si="0"/>
        <v>2.0706043999682695E-2</v>
      </c>
      <c r="AO50" s="91">
        <v>354668.11999999994</v>
      </c>
      <c r="AP50" s="84">
        <f t="shared" si="1"/>
        <v>6.0695172204053346E-3</v>
      </c>
      <c r="AQ50" s="159" t="str">
        <f t="shared" si="2"/>
        <v>OK</v>
      </c>
      <c r="AR50" s="285" t="s">
        <v>39</v>
      </c>
      <c r="AS50" s="288">
        <v>58434321.399999999</v>
      </c>
      <c r="AT50" s="288">
        <v>1209943.6300000001</v>
      </c>
      <c r="AU50" s="222">
        <v>2.0706043999682695E-2</v>
      </c>
      <c r="AV50">
        <v>354668.11999999994</v>
      </c>
      <c r="AW50" s="222">
        <v>6.0695172204053346E-3</v>
      </c>
    </row>
    <row r="51" spans="1:49" x14ac:dyDescent="0.25">
      <c r="A51" s="16" t="s">
        <v>40</v>
      </c>
      <c r="B51" s="35">
        <v>62537685</v>
      </c>
      <c r="C51" s="35">
        <v>660477</v>
      </c>
      <c r="D51" s="26">
        <v>1.0561263980270456E-2</v>
      </c>
      <c r="E51" s="35">
        <v>94512</v>
      </c>
      <c r="F51" s="26">
        <v>1.5112807581540634E-3</v>
      </c>
      <c r="G51" s="26"/>
      <c r="H51" s="35">
        <v>65149085.729999997</v>
      </c>
      <c r="I51" s="35">
        <v>1500395.4500000007</v>
      </c>
      <c r="J51" s="26">
        <v>2.303018427945636E-2</v>
      </c>
      <c r="K51" s="35">
        <v>755782.57999999984</v>
      </c>
      <c r="L51" s="26">
        <v>1.160081636651388E-2</v>
      </c>
      <c r="M51" s="26"/>
      <c r="N51" s="35">
        <v>68121723.159999996</v>
      </c>
      <c r="O51" s="35">
        <v>1081289.8999999999</v>
      </c>
      <c r="P51" s="26">
        <v>1.5872908814422302E-2</v>
      </c>
      <c r="Q51" s="35">
        <v>217192.47999999995</v>
      </c>
      <c r="R51" s="26">
        <v>3.1882998539228373E-3</v>
      </c>
      <c r="S51" s="26"/>
      <c r="T51" s="87">
        <v>71782569.750000045</v>
      </c>
      <c r="U51" s="87">
        <v>669566.15000000014</v>
      </c>
      <c r="V51" s="26">
        <v>9.3276982466903077E-3</v>
      </c>
      <c r="W51" s="87">
        <v>82073.789999999994</v>
      </c>
      <c r="X51" s="26">
        <v>1.2597842176963424E-3</v>
      </c>
      <c r="Y51" s="26"/>
      <c r="Z51" s="87">
        <v>76130350.800000012</v>
      </c>
      <c r="AA51" s="87">
        <v>794533.62</v>
      </c>
      <c r="AB51" s="26">
        <v>1.0436489673971131E-2</v>
      </c>
      <c r="AC51" s="87">
        <v>207642.96</v>
      </c>
      <c r="AD51" s="26">
        <v>2.7274662183744982E-3</v>
      </c>
      <c r="AE51" s="26"/>
      <c r="AF51" s="87">
        <v>79474313.180000007</v>
      </c>
      <c r="AG51" s="87">
        <v>675097.70000000007</v>
      </c>
      <c r="AH51" s="26">
        <v>8.4945395938305617E-3</v>
      </c>
      <c r="AI51" s="87">
        <v>167258.51999999999</v>
      </c>
      <c r="AJ51" s="26">
        <v>2.1045607480894997E-3</v>
      </c>
      <c r="AK51" s="26"/>
      <c r="AL51" s="91">
        <v>81494837.350000024</v>
      </c>
      <c r="AM51" s="91">
        <v>737611.24000000057</v>
      </c>
      <c r="AN51" s="84">
        <f t="shared" si="0"/>
        <v>9.051018002921388E-3</v>
      </c>
      <c r="AO51" s="91">
        <v>96481.699999999968</v>
      </c>
      <c r="AP51" s="84">
        <f t="shared" si="1"/>
        <v>1.1838995344654179E-3</v>
      </c>
      <c r="AQ51" s="159" t="str">
        <f t="shared" si="2"/>
        <v>OK</v>
      </c>
      <c r="AR51" s="285" t="s">
        <v>40</v>
      </c>
      <c r="AS51" s="288">
        <v>81494837.350000024</v>
      </c>
      <c r="AT51" s="288">
        <v>737611.24000000057</v>
      </c>
      <c r="AU51" s="222">
        <v>9.051018002921388E-3</v>
      </c>
      <c r="AV51">
        <v>96481.699999999968</v>
      </c>
      <c r="AW51" s="222">
        <v>1.1838995344654179E-3</v>
      </c>
    </row>
    <row r="52" spans="1:49" x14ac:dyDescent="0.25">
      <c r="A52" s="16"/>
      <c r="B52" s="16"/>
      <c r="C52" s="16"/>
      <c r="D52" s="34"/>
      <c r="E52" s="16"/>
      <c r="F52" s="34"/>
      <c r="G52" s="34"/>
      <c r="H52" s="16"/>
      <c r="I52" s="16"/>
      <c r="J52" s="34"/>
      <c r="K52" s="16"/>
      <c r="L52" s="34"/>
      <c r="M52" s="34"/>
      <c r="N52" s="16"/>
      <c r="O52" s="16"/>
      <c r="P52" s="34"/>
      <c r="Q52" s="16"/>
      <c r="R52" s="34"/>
      <c r="S52" s="34"/>
      <c r="T52" s="16"/>
      <c r="U52" s="16"/>
      <c r="V52" s="34"/>
      <c r="W52" s="16"/>
      <c r="X52" s="34"/>
      <c r="Y52" s="34"/>
      <c r="Z52" s="16"/>
      <c r="AA52" s="16"/>
      <c r="AB52" s="34"/>
      <c r="AC52" s="16"/>
      <c r="AD52" s="34"/>
      <c r="AE52" s="34"/>
      <c r="AF52" s="16"/>
      <c r="AG52" s="16"/>
      <c r="AH52" s="34"/>
      <c r="AI52" s="16"/>
      <c r="AJ52" s="34"/>
      <c r="AK52" s="34"/>
      <c r="AL52" s="92"/>
      <c r="AM52" s="92"/>
      <c r="AN52" s="84"/>
      <c r="AO52" s="92"/>
      <c r="AP52" s="84"/>
      <c r="AT52"/>
      <c r="AU52" s="222"/>
      <c r="AW52" s="222"/>
    </row>
    <row r="53" spans="1:49" ht="15.75" thickBot="1" x14ac:dyDescent="0.3">
      <c r="A53" s="25" t="s">
        <v>123</v>
      </c>
      <c r="B53" s="36">
        <v>3236171455</v>
      </c>
      <c r="C53" s="36">
        <v>158922956</v>
      </c>
      <c r="D53" s="27">
        <v>4.9108323897504989E-2</v>
      </c>
      <c r="E53" s="36">
        <v>40594057</v>
      </c>
      <c r="F53" s="27">
        <v>1.2543852377561992E-2</v>
      </c>
      <c r="G53" s="303"/>
      <c r="H53" s="36">
        <v>3378090219.6599998</v>
      </c>
      <c r="I53" s="36">
        <v>167493153.02000007</v>
      </c>
      <c r="J53" s="27">
        <v>4.9582202406914411E-2</v>
      </c>
      <c r="K53" s="36">
        <v>49093034.399999991</v>
      </c>
      <c r="L53" s="27">
        <v>1.453277775539729E-2</v>
      </c>
      <c r="M53" s="303"/>
      <c r="N53" s="36">
        <v>3544265071.2599998</v>
      </c>
      <c r="O53" s="36">
        <v>157958213.48999995</v>
      </c>
      <c r="P53" s="27">
        <v>4.4567268619625337E-2</v>
      </c>
      <c r="Q53" s="36">
        <v>39608345.769999988</v>
      </c>
      <c r="R53" s="27">
        <v>1.117533394755914E-2</v>
      </c>
      <c r="S53" s="303"/>
      <c r="T53" s="36">
        <v>3739857008.1500006</v>
      </c>
      <c r="U53" s="36">
        <v>170059994.21000001</v>
      </c>
      <c r="V53" s="27">
        <v>4.5472325235804613E-2</v>
      </c>
      <c r="W53" s="36">
        <v>44826590.520000011</v>
      </c>
      <c r="X53" s="27">
        <v>1.3269802641479405E-2</v>
      </c>
      <c r="Y53" s="303"/>
      <c r="Z53" s="36">
        <v>3981385209.5100002</v>
      </c>
      <c r="AA53" s="36">
        <v>171502791.63999993</v>
      </c>
      <c r="AB53" s="27">
        <v>4.3076161339612562E-2</v>
      </c>
      <c r="AC53" s="36">
        <v>38884181.689999998</v>
      </c>
      <c r="AD53" s="27">
        <v>9.7664957405077558E-3</v>
      </c>
      <c r="AE53" s="303"/>
      <c r="AF53" s="36">
        <v>4192488856.8700023</v>
      </c>
      <c r="AG53" s="36">
        <v>189170412.30999985</v>
      </c>
      <c r="AH53" s="27">
        <v>4.5121267764377394E-2</v>
      </c>
      <c r="AI53" s="36">
        <v>49496719.030000016</v>
      </c>
      <c r="AJ53" s="27">
        <v>1.1806046651475877E-2</v>
      </c>
      <c r="AK53" s="303"/>
      <c r="AL53" s="318">
        <f>SUM(AL6:AL52)</f>
        <v>4386086794.8400002</v>
      </c>
      <c r="AM53" s="318">
        <f>SUM(AM6:AM52)</f>
        <v>188734543.2800017</v>
      </c>
      <c r="AN53" s="85">
        <f>AM53/AL53</f>
        <v>4.3030280089768842E-2</v>
      </c>
      <c r="AO53" s="318">
        <f>SUM(AO6:AO52)</f>
        <v>42224650.040000081</v>
      </c>
      <c r="AP53" s="85">
        <f>AO53/AL53</f>
        <v>9.6269526835800773E-3</v>
      </c>
      <c r="AR53" t="s">
        <v>48</v>
      </c>
      <c r="AS53" s="315">
        <v>4386086794.8400002</v>
      </c>
      <c r="AT53" s="315">
        <v>188734543.2800017</v>
      </c>
      <c r="AU53" s="222">
        <v>4.3030280089768842E-2</v>
      </c>
      <c r="AV53">
        <v>42224650.040000081</v>
      </c>
      <c r="AW53" s="222">
        <v>9.6269526835800773E-3</v>
      </c>
    </row>
    <row r="54" spans="1:49" ht="15.75" thickTop="1" x14ac:dyDescent="0.25"/>
  </sheetData>
  <sortState ref="A6:AG51">
    <sortCondition ref="A6"/>
  </sortState>
  <mergeCells count="14">
    <mergeCell ref="AM3:AN3"/>
    <mergeCell ref="AO3:AP3"/>
    <mergeCell ref="U3:V3"/>
    <mergeCell ref="W3:X3"/>
    <mergeCell ref="AA3:AB3"/>
    <mergeCell ref="AC3:AD3"/>
    <mergeCell ref="AG3:AH3"/>
    <mergeCell ref="AI3:AJ3"/>
    <mergeCell ref="Q3:R3"/>
    <mergeCell ref="C3:D3"/>
    <mergeCell ref="E3:F3"/>
    <mergeCell ref="I3:J3"/>
    <mergeCell ref="K3:L3"/>
    <mergeCell ref="O3:P3"/>
  </mergeCells>
  <pageMargins left="0.7" right="0.7" top="0.75" bottom="0.75" header="0.3" footer="0.3"/>
  <pageSetup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54"/>
  <sheetViews>
    <sheetView workbookViewId="0">
      <pane xSplit="1" ySplit="5" topLeftCell="AF34"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2" max="2" width="12.28515625" customWidth="1"/>
    <col min="3" max="3" width="11.7109375" customWidth="1"/>
    <col min="4" max="4" width="7.7109375" bestFit="1" customWidth="1"/>
    <col min="5" max="5" width="12" customWidth="1"/>
    <col min="6" max="6" width="6.140625" bestFit="1" customWidth="1"/>
    <col min="7" max="7" width="1.7109375" style="4" customWidth="1"/>
    <col min="8" max="8" width="12.5703125" bestFit="1" customWidth="1"/>
    <col min="9" max="9" width="11.5703125" bestFit="1" customWidth="1"/>
    <col min="10" max="10" width="7.7109375" bestFit="1" customWidth="1"/>
    <col min="11" max="11" width="10.5703125" bestFit="1" customWidth="1"/>
    <col min="12" max="12" width="5.140625" bestFit="1" customWidth="1"/>
    <col min="13" max="13" width="1.7109375" style="4" customWidth="1"/>
    <col min="14" max="15" width="12.5703125" bestFit="1" customWidth="1"/>
    <col min="16" max="16" width="11.42578125" customWidth="1"/>
    <col min="17" max="17" width="12.5703125" bestFit="1" customWidth="1"/>
    <col min="18" max="18" width="7.7109375" bestFit="1" customWidth="1"/>
    <col min="19" max="19" width="1.7109375" style="4" customWidth="1"/>
    <col min="20" max="21" width="12.5703125" bestFit="1" customWidth="1"/>
    <col min="22" max="22" width="11.42578125" customWidth="1"/>
    <col min="23" max="23" width="12.5703125" bestFit="1" customWidth="1"/>
    <col min="24" max="24" width="7.7109375" bestFit="1" customWidth="1"/>
    <col min="25" max="25" width="1.7109375" style="4" customWidth="1"/>
    <col min="26" max="27" width="12.5703125" bestFit="1" customWidth="1"/>
    <col min="28" max="28" width="11.42578125" customWidth="1"/>
    <col min="29" max="29" width="12.5703125" bestFit="1" customWidth="1"/>
    <col min="30" max="30" width="7.7109375" bestFit="1" customWidth="1"/>
    <col min="31" max="31" width="1.7109375" style="4" customWidth="1"/>
    <col min="32" max="33" width="12.5703125" customWidth="1"/>
    <col min="34" max="34" width="11.42578125" customWidth="1"/>
    <col min="35" max="35" width="12.5703125" customWidth="1"/>
    <col min="36" max="36" width="11.42578125" customWidth="1"/>
    <col min="38" max="38" width="48.7109375" bestFit="1" customWidth="1"/>
    <col min="39" max="41" width="15.28515625" style="223" bestFit="1" customWidth="1"/>
  </cols>
  <sheetData>
    <row r="1" spans="1:41"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c r="AJ1" s="29">
        <v>36</v>
      </c>
    </row>
    <row r="2" spans="1:41" x14ac:dyDescent="0.25">
      <c r="B2" s="70" t="s">
        <v>134</v>
      </c>
      <c r="C2" s="70"/>
      <c r="D2" s="70"/>
      <c r="E2" s="70"/>
      <c r="F2" s="70"/>
      <c r="G2" s="38"/>
      <c r="H2" s="70"/>
      <c r="I2" s="70"/>
      <c r="J2" s="70"/>
      <c r="K2" s="70"/>
      <c r="L2" s="70"/>
      <c r="M2" s="38"/>
      <c r="N2" s="70"/>
      <c r="O2" s="70"/>
      <c r="P2" s="70"/>
      <c r="Q2" s="70"/>
      <c r="R2" s="70"/>
      <c r="S2" s="38"/>
      <c r="T2" s="70"/>
      <c r="U2" s="70"/>
      <c r="V2" s="70"/>
      <c r="W2" s="70"/>
      <c r="X2" s="70"/>
      <c r="Y2" s="38"/>
      <c r="Z2" s="70"/>
      <c r="AA2" s="70"/>
      <c r="AB2" s="70"/>
      <c r="AC2" s="70"/>
      <c r="AD2" s="70"/>
      <c r="AE2" s="38"/>
      <c r="AF2" s="70"/>
      <c r="AG2" s="70"/>
      <c r="AH2" s="70"/>
      <c r="AI2" s="70"/>
      <c r="AJ2" s="70"/>
    </row>
    <row r="3" spans="1:41" ht="27" customHeight="1" x14ac:dyDescent="0.25">
      <c r="B3" s="70" t="s">
        <v>131</v>
      </c>
      <c r="C3" s="332" t="s">
        <v>135</v>
      </c>
      <c r="D3" s="332"/>
      <c r="E3" s="333" t="s">
        <v>136</v>
      </c>
      <c r="F3" s="333"/>
      <c r="G3" s="38"/>
      <c r="H3" s="70" t="s">
        <v>131</v>
      </c>
      <c r="I3" s="332" t="s">
        <v>135</v>
      </c>
      <c r="J3" s="332"/>
      <c r="K3" s="333" t="s">
        <v>136</v>
      </c>
      <c r="L3" s="333"/>
      <c r="M3" s="38"/>
      <c r="N3" s="70" t="s">
        <v>131</v>
      </c>
      <c r="O3" s="332" t="s">
        <v>135</v>
      </c>
      <c r="P3" s="332"/>
      <c r="Q3" s="333" t="s">
        <v>136</v>
      </c>
      <c r="R3" s="333"/>
      <c r="S3" s="38"/>
      <c r="T3" s="70" t="s">
        <v>131</v>
      </c>
      <c r="U3" s="332" t="s">
        <v>135</v>
      </c>
      <c r="V3" s="332"/>
      <c r="W3" s="333" t="s">
        <v>136</v>
      </c>
      <c r="X3" s="333"/>
      <c r="Y3" s="38"/>
      <c r="Z3" s="70" t="s">
        <v>131</v>
      </c>
      <c r="AA3" s="332" t="s">
        <v>135</v>
      </c>
      <c r="AB3" s="332"/>
      <c r="AC3" s="333" t="s">
        <v>136</v>
      </c>
      <c r="AD3" s="333"/>
      <c r="AE3" s="38"/>
      <c r="AF3" s="70" t="s">
        <v>131</v>
      </c>
      <c r="AG3" s="332" t="s">
        <v>135</v>
      </c>
      <c r="AH3" s="332"/>
      <c r="AI3" s="333" t="s">
        <v>425</v>
      </c>
      <c r="AJ3" s="333"/>
    </row>
    <row r="4" spans="1:41" ht="26.25" customHeight="1" x14ac:dyDescent="0.25">
      <c r="B4" s="15">
        <v>2015</v>
      </c>
      <c r="C4" s="15">
        <v>2015</v>
      </c>
      <c r="D4" s="15">
        <v>2015</v>
      </c>
      <c r="E4" s="15">
        <v>2015</v>
      </c>
      <c r="F4" s="15">
        <v>2015</v>
      </c>
      <c r="G4" s="38"/>
      <c r="H4" s="15">
        <v>2016</v>
      </c>
      <c r="I4" s="15">
        <v>2016</v>
      </c>
      <c r="J4" s="15">
        <v>2016</v>
      </c>
      <c r="K4" s="15">
        <v>2016</v>
      </c>
      <c r="L4" s="15">
        <v>2016</v>
      </c>
      <c r="M4" s="38"/>
      <c r="N4" s="15">
        <v>2017</v>
      </c>
      <c r="O4" s="15">
        <v>2017</v>
      </c>
      <c r="P4" s="15">
        <v>2017</v>
      </c>
      <c r="Q4" s="15">
        <v>2017</v>
      </c>
      <c r="R4" s="15">
        <v>2017</v>
      </c>
      <c r="S4" s="38"/>
      <c r="T4" s="15">
        <v>2018</v>
      </c>
      <c r="U4" s="15">
        <v>2018</v>
      </c>
      <c r="V4" s="15">
        <v>2018</v>
      </c>
      <c r="W4" s="15">
        <v>2018</v>
      </c>
      <c r="X4" s="15">
        <v>2018</v>
      </c>
      <c r="Y4" s="38"/>
      <c r="Z4" s="15">
        <v>2019</v>
      </c>
      <c r="AA4" s="15">
        <v>2019</v>
      </c>
      <c r="AB4" s="15">
        <v>2019</v>
      </c>
      <c r="AC4" s="15">
        <v>2019</v>
      </c>
      <c r="AD4" s="15">
        <v>2019</v>
      </c>
      <c r="AE4" s="38"/>
      <c r="AF4" s="15">
        <v>2020</v>
      </c>
      <c r="AG4" s="15">
        <v>2020</v>
      </c>
      <c r="AH4" s="15">
        <v>2020</v>
      </c>
      <c r="AI4" s="15">
        <v>2020</v>
      </c>
      <c r="AJ4" s="15">
        <v>2020</v>
      </c>
      <c r="AM4" s="331" t="s">
        <v>410</v>
      </c>
      <c r="AN4" s="331" t="s">
        <v>411</v>
      </c>
      <c r="AO4" s="331" t="s">
        <v>412</v>
      </c>
    </row>
    <row r="5" spans="1:41" x14ac:dyDescent="0.25">
      <c r="A5" s="40" t="s">
        <v>44</v>
      </c>
      <c r="B5" s="41" t="s">
        <v>49</v>
      </c>
      <c r="C5" s="41" t="s">
        <v>49</v>
      </c>
      <c r="D5" s="41" t="s">
        <v>51</v>
      </c>
      <c r="E5" s="41" t="s">
        <v>49</v>
      </c>
      <c r="F5" s="41" t="s">
        <v>51</v>
      </c>
      <c r="G5" s="95"/>
      <c r="H5" s="41" t="s">
        <v>49</v>
      </c>
      <c r="I5" s="41" t="s">
        <v>49</v>
      </c>
      <c r="J5" s="41" t="s">
        <v>51</v>
      </c>
      <c r="K5" s="41" t="s">
        <v>49</v>
      </c>
      <c r="L5" s="41" t="s">
        <v>51</v>
      </c>
      <c r="M5" s="95"/>
      <c r="N5" s="41" t="s">
        <v>49</v>
      </c>
      <c r="O5" s="41" t="s">
        <v>49</v>
      </c>
      <c r="P5" s="41" t="s">
        <v>51</v>
      </c>
      <c r="Q5" s="41" t="s">
        <v>49</v>
      </c>
      <c r="R5" s="41" t="s">
        <v>51</v>
      </c>
      <c r="S5" s="95"/>
      <c r="T5" s="41" t="s">
        <v>49</v>
      </c>
      <c r="U5" s="41" t="s">
        <v>49</v>
      </c>
      <c r="V5" s="41" t="s">
        <v>51</v>
      </c>
      <c r="W5" s="41" t="s">
        <v>49</v>
      </c>
      <c r="X5" s="41" t="s">
        <v>51</v>
      </c>
      <c r="Y5" s="95"/>
      <c r="Z5" s="41" t="s">
        <v>49</v>
      </c>
      <c r="AA5" s="41" t="s">
        <v>49</v>
      </c>
      <c r="AB5" s="41" t="s">
        <v>51</v>
      </c>
      <c r="AC5" s="41" t="s">
        <v>49</v>
      </c>
      <c r="AD5" s="41" t="s">
        <v>51</v>
      </c>
      <c r="AE5" s="95"/>
      <c r="AF5" s="41" t="s">
        <v>49</v>
      </c>
      <c r="AG5" s="41" t="s">
        <v>49</v>
      </c>
      <c r="AH5" s="41" t="s">
        <v>51</v>
      </c>
      <c r="AI5" s="41" t="s">
        <v>49</v>
      </c>
      <c r="AJ5" s="41" t="s">
        <v>51</v>
      </c>
      <c r="AL5" t="s">
        <v>362</v>
      </c>
      <c r="AM5" s="331"/>
      <c r="AN5" s="331"/>
      <c r="AO5" s="331"/>
    </row>
    <row r="6" spans="1:41" x14ac:dyDescent="0.25">
      <c r="A6" s="16" t="s">
        <v>0</v>
      </c>
      <c r="B6" s="35">
        <v>414783</v>
      </c>
      <c r="C6" s="35">
        <v>20174.349999999999</v>
      </c>
      <c r="D6" s="26">
        <v>4.8638324135752906E-2</v>
      </c>
      <c r="E6" s="35">
        <v>1246.1099999999999</v>
      </c>
      <c r="F6" s="26">
        <v>3.0042455934789995E-3</v>
      </c>
      <c r="G6" s="37"/>
      <c r="H6" s="35">
        <v>483577</v>
      </c>
      <c r="I6" s="35">
        <v>65334.700000000012</v>
      </c>
      <c r="J6" s="26">
        <v>0.13510712875095385</v>
      </c>
      <c r="K6" s="35">
        <v>2213.35</v>
      </c>
      <c r="L6" s="26">
        <v>4.5770373694365117E-3</v>
      </c>
      <c r="M6" s="37"/>
      <c r="N6" s="35">
        <v>608652.68999999994</v>
      </c>
      <c r="O6" s="35">
        <v>93048.05</v>
      </c>
      <c r="P6" s="26">
        <v>0.1528754436294367</v>
      </c>
      <c r="Q6" s="35">
        <v>33079.880000000005</v>
      </c>
      <c r="R6" s="26">
        <v>5.4349353159024089E-2</v>
      </c>
      <c r="S6" s="37"/>
      <c r="T6" s="35">
        <v>669700.35000000021</v>
      </c>
      <c r="U6" s="35">
        <v>46277</v>
      </c>
      <c r="V6" s="26">
        <v>6.9101053926580724E-2</v>
      </c>
      <c r="W6" s="35">
        <v>2021.77</v>
      </c>
      <c r="X6" s="26">
        <v>3.0189173411660892E-3</v>
      </c>
      <c r="Y6" s="37"/>
      <c r="Z6" s="35">
        <v>667485.87999999966</v>
      </c>
      <c r="AA6" s="35">
        <v>87621.869999999981</v>
      </c>
      <c r="AB6" s="26">
        <v>0.13083742602195139</v>
      </c>
      <c r="AC6" s="35">
        <v>586.70000000000005</v>
      </c>
      <c r="AD6" s="26">
        <v>8.7606345136298622E-4</v>
      </c>
      <c r="AE6" s="37"/>
      <c r="AF6" s="91">
        <v>695638.36999999988</v>
      </c>
      <c r="AG6" s="91">
        <v>6981.74</v>
      </c>
      <c r="AH6" s="84">
        <f>AG6/AF6</f>
        <v>1.0036450404539935E-2</v>
      </c>
      <c r="AI6" s="91">
        <v>1702.96</v>
      </c>
      <c r="AJ6" s="84">
        <f t="shared" ref="AJ6:AJ12" si="0">IFERROR((AI6/AF6),"")</f>
        <v>2.4480535770331361E-3</v>
      </c>
      <c r="AK6" s="159" t="str">
        <f t="shared" ref="AK6:AK51" si="1">IF(AL6=A6,"OK","No")</f>
        <v>No</v>
      </c>
      <c r="AL6" t="s">
        <v>363</v>
      </c>
      <c r="AM6" s="223">
        <v>695638.36999999988</v>
      </c>
      <c r="AN6" s="223">
        <v>6981.74</v>
      </c>
      <c r="AO6" s="223">
        <v>1702.96</v>
      </c>
    </row>
    <row r="7" spans="1:41" x14ac:dyDescent="0.25">
      <c r="A7" s="16" t="s">
        <v>25</v>
      </c>
      <c r="B7" s="35"/>
      <c r="C7" s="35"/>
      <c r="D7" s="26"/>
      <c r="E7" s="35"/>
      <c r="F7" s="26"/>
      <c r="G7" s="37"/>
      <c r="H7" s="35">
        <v>0</v>
      </c>
      <c r="I7" s="35"/>
      <c r="J7" s="26"/>
      <c r="K7" s="35"/>
      <c r="L7" s="26"/>
      <c r="M7" s="37"/>
      <c r="N7" s="35">
        <v>0</v>
      </c>
      <c r="O7" s="35"/>
      <c r="P7" s="26"/>
      <c r="Q7" s="35"/>
      <c r="R7" s="26"/>
      <c r="S7" s="37"/>
      <c r="T7" s="35">
        <v>0</v>
      </c>
      <c r="U7" s="35"/>
      <c r="V7" s="26"/>
      <c r="W7" s="35"/>
      <c r="X7" s="26"/>
      <c r="Y7" s="37"/>
      <c r="Z7" s="35">
        <v>0</v>
      </c>
      <c r="AA7" s="35"/>
      <c r="AB7" s="26"/>
      <c r="AC7" s="35"/>
      <c r="AD7" s="26"/>
      <c r="AE7" s="37"/>
      <c r="AF7" s="91">
        <v>0</v>
      </c>
      <c r="AG7" s="91">
        <v>0</v>
      </c>
      <c r="AH7" s="84"/>
      <c r="AI7" s="91">
        <v>0</v>
      </c>
      <c r="AJ7" s="84" t="str">
        <f t="shared" si="0"/>
        <v/>
      </c>
      <c r="AK7" s="159" t="str">
        <f t="shared" si="1"/>
        <v>OK</v>
      </c>
      <c r="AL7" t="s">
        <v>25</v>
      </c>
      <c r="AM7" s="223">
        <v>0</v>
      </c>
      <c r="AN7" s="223">
        <v>0</v>
      </c>
      <c r="AO7" s="223">
        <v>0</v>
      </c>
    </row>
    <row r="8" spans="1:41" x14ac:dyDescent="0.25">
      <c r="A8" s="16" t="s">
        <v>384</v>
      </c>
      <c r="B8" s="35"/>
      <c r="C8" s="35"/>
      <c r="D8" s="26"/>
      <c r="E8" s="35"/>
      <c r="F8" s="26"/>
      <c r="G8" s="37"/>
      <c r="H8" s="35">
        <v>0</v>
      </c>
      <c r="I8" s="35"/>
      <c r="J8" s="26"/>
      <c r="K8" s="35"/>
      <c r="L8" s="26"/>
      <c r="M8" s="37"/>
      <c r="N8" s="35">
        <v>0</v>
      </c>
      <c r="O8" s="35"/>
      <c r="P8" s="26"/>
      <c r="Q8" s="35"/>
      <c r="R8" s="26"/>
      <c r="S8" s="37"/>
      <c r="T8" s="35">
        <v>0</v>
      </c>
      <c r="U8" s="35"/>
      <c r="V8" s="26"/>
      <c r="W8" s="35"/>
      <c r="X8" s="26"/>
      <c r="Y8" s="37"/>
      <c r="Z8" s="35">
        <v>0</v>
      </c>
      <c r="AA8" s="35"/>
      <c r="AB8" s="26"/>
      <c r="AC8" s="35"/>
      <c r="AD8" s="26"/>
      <c r="AE8" s="37"/>
      <c r="AF8" s="91">
        <v>0</v>
      </c>
      <c r="AG8" s="91">
        <v>0</v>
      </c>
      <c r="AH8" s="84"/>
      <c r="AI8" s="91">
        <v>0</v>
      </c>
      <c r="AJ8" s="84" t="str">
        <f t="shared" si="0"/>
        <v/>
      </c>
      <c r="AK8" s="159" t="str">
        <f t="shared" si="1"/>
        <v>OK</v>
      </c>
      <c r="AL8" t="s">
        <v>384</v>
      </c>
      <c r="AM8" s="223">
        <v>0</v>
      </c>
      <c r="AN8" s="223">
        <v>0</v>
      </c>
      <c r="AO8" s="223">
        <v>0</v>
      </c>
    </row>
    <row r="9" spans="1:41" x14ac:dyDescent="0.25">
      <c r="A9" s="16" t="s">
        <v>1</v>
      </c>
      <c r="B9" s="35">
        <v>62350328</v>
      </c>
      <c r="C9" s="35">
        <v>6552597.9100000001</v>
      </c>
      <c r="D9" s="26">
        <v>0.10509323880381191</v>
      </c>
      <c r="E9" s="35">
        <v>684460.4</v>
      </c>
      <c r="F9" s="26">
        <v>1.0977655161653681E-2</v>
      </c>
      <c r="G9" s="37"/>
      <c r="H9" s="35">
        <v>67323497</v>
      </c>
      <c r="I9" s="35">
        <v>7782362.9199999571</v>
      </c>
      <c r="J9" s="26">
        <v>0.11559653414913901</v>
      </c>
      <c r="K9" s="35">
        <v>976389.4700000002</v>
      </c>
      <c r="L9" s="26">
        <v>1.4502952364461998E-2</v>
      </c>
      <c r="M9" s="37"/>
      <c r="N9" s="35">
        <v>70729647.670005664</v>
      </c>
      <c r="O9" s="35">
        <v>7885342.1799999764</v>
      </c>
      <c r="P9" s="26">
        <v>0.11148567029189253</v>
      </c>
      <c r="Q9" s="35">
        <v>880855.03000000026</v>
      </c>
      <c r="R9" s="26">
        <v>1.245383031044766E-2</v>
      </c>
      <c r="S9" s="37"/>
      <c r="T9" s="35">
        <v>73545707.210004836</v>
      </c>
      <c r="U9" s="35">
        <v>7530504.1199999759</v>
      </c>
      <c r="V9" s="26">
        <v>0.10239216407963997</v>
      </c>
      <c r="W9" s="35">
        <v>653687.26000000024</v>
      </c>
      <c r="X9" s="26">
        <v>8.8881769555011567E-3</v>
      </c>
      <c r="Y9" s="37"/>
      <c r="Z9" s="35">
        <v>80211292.900004625</v>
      </c>
      <c r="AA9" s="35">
        <v>8368499.0799999619</v>
      </c>
      <c r="AB9" s="26">
        <v>0.11378637037379047</v>
      </c>
      <c r="AC9" s="35">
        <v>956741.22000000009</v>
      </c>
      <c r="AD9" s="26">
        <v>1.3008797607562459E-2</v>
      </c>
      <c r="AE9" s="37"/>
      <c r="AF9" s="91">
        <v>81683510.360005394</v>
      </c>
      <c r="AG9" s="91">
        <v>8424127.2300000191</v>
      </c>
      <c r="AH9" s="84">
        <f>AG9/AF9</f>
        <v>0.10313130756589907</v>
      </c>
      <c r="AI9" s="91">
        <v>976623.76000000059</v>
      </c>
      <c r="AJ9" s="84">
        <f t="shared" si="0"/>
        <v>1.1956192329341709E-2</v>
      </c>
      <c r="AK9" s="159" t="str">
        <f t="shared" si="1"/>
        <v>OK</v>
      </c>
      <c r="AL9" t="s">
        <v>1</v>
      </c>
      <c r="AM9" s="223">
        <v>81683510.360005394</v>
      </c>
      <c r="AN9" s="223">
        <v>8424127.2300000191</v>
      </c>
      <c r="AO9" s="223">
        <v>976623.76000000059</v>
      </c>
    </row>
    <row r="10" spans="1:41" x14ac:dyDescent="0.25">
      <c r="A10" s="16" t="s">
        <v>2</v>
      </c>
      <c r="B10" s="35">
        <v>29549545</v>
      </c>
      <c r="C10" s="35">
        <v>1795508.42</v>
      </c>
      <c r="D10" s="26">
        <v>6.0762641861321381E-2</v>
      </c>
      <c r="E10" s="35">
        <v>179527.14</v>
      </c>
      <c r="F10" s="26">
        <v>6.0754620756427891E-3</v>
      </c>
      <c r="G10" s="37"/>
      <c r="H10" s="35">
        <v>29210982</v>
      </c>
      <c r="I10" s="35">
        <v>2246623.8100000024</v>
      </c>
      <c r="J10" s="26">
        <v>7.6910245947911043E-2</v>
      </c>
      <c r="K10" s="35">
        <v>192924.58000000002</v>
      </c>
      <c r="L10" s="26">
        <v>6.604522230714463E-3</v>
      </c>
      <c r="M10" s="37"/>
      <c r="N10" s="35">
        <v>31857787.619999893</v>
      </c>
      <c r="O10" s="35">
        <v>2432365.9399999892</v>
      </c>
      <c r="P10" s="26">
        <v>7.6350748803190038E-2</v>
      </c>
      <c r="Q10" s="35">
        <v>95873.479999999981</v>
      </c>
      <c r="R10" s="26">
        <v>3.0094205267352557E-3</v>
      </c>
      <c r="S10" s="37"/>
      <c r="T10" s="35">
        <v>32153352.309999797</v>
      </c>
      <c r="U10" s="35">
        <v>1890010.6400000001</v>
      </c>
      <c r="V10" s="26">
        <v>5.8781138021872785E-2</v>
      </c>
      <c r="W10" s="35">
        <v>192114.79999999996</v>
      </c>
      <c r="X10" s="26">
        <v>5.9749539689599217E-3</v>
      </c>
      <c r="Y10" s="37"/>
      <c r="Z10" s="35">
        <v>33996386.440001108</v>
      </c>
      <c r="AA10" s="35">
        <v>2853546.3900000025</v>
      </c>
      <c r="AB10" s="26">
        <v>8.8748021123524964E-2</v>
      </c>
      <c r="AC10" s="35">
        <v>299023.50000000006</v>
      </c>
      <c r="AD10" s="26">
        <v>9.2999167588196634E-3</v>
      </c>
      <c r="AE10" s="37"/>
      <c r="AF10" s="91">
        <v>34988142.819999896</v>
      </c>
      <c r="AG10" s="91">
        <v>2639181.6699999967</v>
      </c>
      <c r="AH10" s="84">
        <f>AG10/AF10</f>
        <v>7.5430744740512201E-2</v>
      </c>
      <c r="AI10" s="91">
        <v>168021.38000000006</v>
      </c>
      <c r="AJ10" s="84">
        <f t="shared" si="0"/>
        <v>4.8022377427805575E-3</v>
      </c>
      <c r="AK10" s="159" t="str">
        <f t="shared" si="1"/>
        <v>OK</v>
      </c>
      <c r="AL10" t="s">
        <v>2</v>
      </c>
      <c r="AM10" s="223">
        <v>34988142.819999896</v>
      </c>
      <c r="AN10" s="223">
        <v>2639181.6699999967</v>
      </c>
      <c r="AO10" s="223">
        <v>168021.38000000006</v>
      </c>
    </row>
    <row r="11" spans="1:41" x14ac:dyDescent="0.25">
      <c r="A11" s="16" t="s">
        <v>3</v>
      </c>
      <c r="B11" s="35">
        <v>3845631</v>
      </c>
      <c r="C11" s="35">
        <v>382229.7</v>
      </c>
      <c r="D11" s="26">
        <v>9.9393233516164192E-2</v>
      </c>
      <c r="E11" s="35">
        <v>11811.310000000001</v>
      </c>
      <c r="F11" s="26">
        <v>3.0713581204228906E-3</v>
      </c>
      <c r="G11" s="37"/>
      <c r="H11" s="35">
        <v>5173720</v>
      </c>
      <c r="I11" s="35">
        <v>594000.14999999944</v>
      </c>
      <c r="J11" s="26">
        <v>0.11481103538653029</v>
      </c>
      <c r="K11" s="35">
        <v>28509.040000000005</v>
      </c>
      <c r="L11" s="26">
        <v>5.5103561847181532E-3</v>
      </c>
      <c r="M11" s="37"/>
      <c r="N11" s="35">
        <v>5855443.7900000056</v>
      </c>
      <c r="O11" s="35">
        <v>953004.92999999993</v>
      </c>
      <c r="P11" s="26">
        <v>0.16275537161291731</v>
      </c>
      <c r="Q11" s="35">
        <v>117389.23000000001</v>
      </c>
      <c r="R11" s="26">
        <v>2.0047879240251386E-2</v>
      </c>
      <c r="S11" s="37"/>
      <c r="T11" s="35">
        <v>6034614.9599999785</v>
      </c>
      <c r="U11" s="35">
        <v>1109034.2600000002</v>
      </c>
      <c r="V11" s="26">
        <v>0.18377879406576161</v>
      </c>
      <c r="W11" s="35">
        <v>46237.929999999993</v>
      </c>
      <c r="X11" s="26">
        <v>7.6621176838099639E-3</v>
      </c>
      <c r="Y11" s="37"/>
      <c r="Z11" s="35">
        <v>5840417.7499999823</v>
      </c>
      <c r="AA11" s="35">
        <v>593031.63000000024</v>
      </c>
      <c r="AB11" s="26">
        <v>9.82716600695933E-2</v>
      </c>
      <c r="AC11" s="35">
        <v>41588.21</v>
      </c>
      <c r="AD11" s="26">
        <v>6.8916095352668776E-3</v>
      </c>
      <c r="AE11" s="37"/>
      <c r="AF11" s="91">
        <v>5549005.7699999651</v>
      </c>
      <c r="AG11" s="91">
        <v>946731.85999999905</v>
      </c>
      <c r="AH11" s="84">
        <f>AG11/AF11</f>
        <v>0.17061288080080786</v>
      </c>
      <c r="AI11" s="91">
        <v>158644.74</v>
      </c>
      <c r="AJ11" s="84">
        <f t="shared" si="0"/>
        <v>2.8589759422794941E-2</v>
      </c>
      <c r="AK11" s="159" t="str">
        <f t="shared" si="1"/>
        <v>OK</v>
      </c>
      <c r="AL11" t="s">
        <v>3</v>
      </c>
      <c r="AM11" s="223">
        <v>5549005.7699999651</v>
      </c>
      <c r="AN11" s="223">
        <v>946731.85999999905</v>
      </c>
      <c r="AO11" s="223">
        <v>158644.74</v>
      </c>
    </row>
    <row r="12" spans="1:41" x14ac:dyDescent="0.25">
      <c r="A12" s="16" t="s">
        <v>32</v>
      </c>
      <c r="B12" s="35"/>
      <c r="C12" s="35"/>
      <c r="D12" s="26"/>
      <c r="E12" s="35"/>
      <c r="F12" s="26"/>
      <c r="G12" s="37"/>
      <c r="H12" s="35">
        <v>0</v>
      </c>
      <c r="I12" s="35"/>
      <c r="J12" s="26"/>
      <c r="K12" s="35"/>
      <c r="L12" s="26"/>
      <c r="M12" s="37"/>
      <c r="N12" s="35">
        <v>0</v>
      </c>
      <c r="O12" s="35"/>
      <c r="P12" s="26"/>
      <c r="Q12" s="35"/>
      <c r="R12" s="26"/>
      <c r="S12" s="37"/>
      <c r="T12" s="35">
        <v>0</v>
      </c>
      <c r="U12" s="35"/>
      <c r="V12" s="26"/>
      <c r="W12" s="35"/>
      <c r="X12" s="26"/>
      <c r="Y12" s="37"/>
      <c r="Z12" s="35">
        <v>0</v>
      </c>
      <c r="AA12" s="35"/>
      <c r="AB12" s="26"/>
      <c r="AC12" s="35">
        <v>0</v>
      </c>
      <c r="AD12" s="26"/>
      <c r="AE12" s="37"/>
      <c r="AF12" s="91">
        <v>0</v>
      </c>
      <c r="AG12" s="91">
        <v>0</v>
      </c>
      <c r="AH12" s="84"/>
      <c r="AI12" s="91">
        <v>0</v>
      </c>
      <c r="AJ12" s="84" t="str">
        <f t="shared" si="0"/>
        <v/>
      </c>
      <c r="AK12" s="159" t="str">
        <f t="shared" si="1"/>
        <v>OK</v>
      </c>
      <c r="AL12" t="s">
        <v>32</v>
      </c>
      <c r="AM12" s="223">
        <v>0</v>
      </c>
      <c r="AN12" s="223">
        <v>0</v>
      </c>
      <c r="AO12" s="223">
        <v>0</v>
      </c>
    </row>
    <row r="13" spans="1:41" x14ac:dyDescent="0.25">
      <c r="A13" s="16" t="s">
        <v>22</v>
      </c>
      <c r="B13" s="35"/>
      <c r="C13" s="35"/>
      <c r="D13" s="26"/>
      <c r="E13" s="35"/>
      <c r="F13" s="26"/>
      <c r="G13" s="37"/>
      <c r="H13" s="35">
        <v>0</v>
      </c>
      <c r="I13" s="35"/>
      <c r="J13" s="26"/>
      <c r="K13" s="35"/>
      <c r="L13" s="26"/>
      <c r="M13" s="37"/>
      <c r="N13" s="35">
        <v>2.2737367544323206E-13</v>
      </c>
      <c r="O13" s="35">
        <v>51.250000000000227</v>
      </c>
      <c r="P13" s="26">
        <v>0</v>
      </c>
      <c r="Q13" s="35"/>
      <c r="R13" s="26"/>
      <c r="S13" s="37"/>
      <c r="T13" s="35">
        <v>0</v>
      </c>
      <c r="U13" s="35"/>
      <c r="V13" s="26"/>
      <c r="W13" s="35">
        <v>0</v>
      </c>
      <c r="X13" s="26"/>
      <c r="Y13" s="37"/>
      <c r="Z13" s="35">
        <v>11335.179999999998</v>
      </c>
      <c r="AA13" s="35">
        <v>0</v>
      </c>
      <c r="AB13" s="26"/>
      <c r="AC13" s="35">
        <v>0</v>
      </c>
      <c r="AD13" s="26"/>
      <c r="AE13" s="37"/>
      <c r="AF13" s="91">
        <v>0</v>
      </c>
      <c r="AG13" s="91">
        <v>11335.179999999997</v>
      </c>
      <c r="AH13" s="84"/>
      <c r="AI13" s="91">
        <v>11335.179999999997</v>
      </c>
      <c r="AJ13" s="84" t="str">
        <f>IFERROR((AI13/AF13),"")</f>
        <v/>
      </c>
      <c r="AK13" s="159" t="str">
        <f t="shared" si="1"/>
        <v>No</v>
      </c>
      <c r="AL13" t="s">
        <v>319</v>
      </c>
      <c r="AM13" s="223">
        <v>0</v>
      </c>
      <c r="AN13" s="223">
        <v>11335.179999999997</v>
      </c>
      <c r="AO13" s="223">
        <v>11335.179999999997</v>
      </c>
    </row>
    <row r="14" spans="1:41" x14ac:dyDescent="0.25">
      <c r="A14" s="16" t="s">
        <v>4</v>
      </c>
      <c r="B14" s="35">
        <v>5146049</v>
      </c>
      <c r="C14" s="35">
        <v>272925.19</v>
      </c>
      <c r="D14" s="26">
        <v>5.3035870820507154E-2</v>
      </c>
      <c r="E14" s="35">
        <v>66801.009999999995</v>
      </c>
      <c r="F14" s="26">
        <v>1.2981028746519902E-2</v>
      </c>
      <c r="G14" s="37"/>
      <c r="H14" s="35">
        <v>5184051</v>
      </c>
      <c r="I14" s="35">
        <v>385455.35999999999</v>
      </c>
      <c r="J14" s="26">
        <v>7.4354083322096948E-2</v>
      </c>
      <c r="K14" s="35">
        <v>54769.790000000008</v>
      </c>
      <c r="L14" s="26">
        <v>1.0565056169393397E-2</v>
      </c>
      <c r="M14" s="37"/>
      <c r="N14" s="35">
        <v>5097201.3699999666</v>
      </c>
      <c r="O14" s="35">
        <v>218255.87</v>
      </c>
      <c r="P14" s="26">
        <v>4.2818765466980449E-2</v>
      </c>
      <c r="Q14" s="35">
        <v>73761.58</v>
      </c>
      <c r="R14" s="26">
        <v>1.4470995875134611E-2</v>
      </c>
      <c r="S14" s="37"/>
      <c r="T14" s="35">
        <v>4940543.8499999763</v>
      </c>
      <c r="U14" s="35">
        <v>238187.3</v>
      </c>
      <c r="V14" s="26">
        <v>4.8210745057955744E-2</v>
      </c>
      <c r="W14" s="35">
        <v>44194.890000000014</v>
      </c>
      <c r="X14" s="26">
        <v>8.9453492048249348E-3</v>
      </c>
      <c r="Y14" s="37"/>
      <c r="Z14" s="35">
        <v>4736784.8099999661</v>
      </c>
      <c r="AA14" s="35">
        <v>192312.7099999999</v>
      </c>
      <c r="AB14" s="26">
        <v>3.8925413039295427E-2</v>
      </c>
      <c r="AC14" s="35">
        <v>8183.9000000000005</v>
      </c>
      <c r="AD14" s="26">
        <v>1.6564775556035273E-3</v>
      </c>
      <c r="AE14" s="37"/>
      <c r="AF14" s="91">
        <v>5394224.0599999856</v>
      </c>
      <c r="AG14" s="91">
        <v>318853.33</v>
      </c>
      <c r="AH14" s="84">
        <f>AG14/AF14</f>
        <v>5.9110138261479789E-2</v>
      </c>
      <c r="AI14" s="91">
        <v>16482.160000000003</v>
      </c>
      <c r="AJ14" s="84">
        <f t="shared" ref="AJ14:AJ51" si="2">IFERROR((AI14/AF14),"")</f>
        <v>3.0555200927267468E-3</v>
      </c>
      <c r="AK14" s="159" t="str">
        <f t="shared" si="1"/>
        <v>OK</v>
      </c>
      <c r="AL14" t="s">
        <v>4</v>
      </c>
      <c r="AM14" s="223">
        <v>5394224.0599999856</v>
      </c>
      <c r="AN14" s="223">
        <v>318853.33</v>
      </c>
      <c r="AO14" s="223">
        <v>16482.160000000003</v>
      </c>
    </row>
    <row r="15" spans="1:41" x14ac:dyDescent="0.25">
      <c r="A15" s="16" t="s">
        <v>27</v>
      </c>
      <c r="B15" s="35">
        <v>35653</v>
      </c>
      <c r="C15" s="35">
        <v>3247.28</v>
      </c>
      <c r="D15" s="26">
        <v>9.108013350910163E-2</v>
      </c>
      <c r="E15" s="35">
        <v>38.26</v>
      </c>
      <c r="F15" s="26">
        <v>1.0731214764535943E-3</v>
      </c>
      <c r="G15" s="37"/>
      <c r="H15" s="35">
        <v>19044</v>
      </c>
      <c r="I15" s="35"/>
      <c r="J15" s="26">
        <v>0</v>
      </c>
      <c r="K15" s="35">
        <v>0</v>
      </c>
      <c r="L15" s="26">
        <v>0</v>
      </c>
      <c r="M15" s="37"/>
      <c r="N15" s="35">
        <v>21492.429999999989</v>
      </c>
      <c r="O15" s="35">
        <v>0</v>
      </c>
      <c r="P15" s="26">
        <v>0</v>
      </c>
      <c r="Q15" s="35">
        <v>0</v>
      </c>
      <c r="R15" s="26">
        <v>0</v>
      </c>
      <c r="S15" s="37"/>
      <c r="T15" s="35">
        <v>36487.49</v>
      </c>
      <c r="U15" s="35">
        <v>6552.65</v>
      </c>
      <c r="V15" s="26">
        <v>0.17958620886227034</v>
      </c>
      <c r="W15" s="35">
        <v>0</v>
      </c>
      <c r="X15" s="26">
        <v>0</v>
      </c>
      <c r="Y15" s="37"/>
      <c r="Z15" s="35">
        <v>59612.480000000047</v>
      </c>
      <c r="AA15" s="35">
        <v>0</v>
      </c>
      <c r="AB15" s="26">
        <v>0</v>
      </c>
      <c r="AC15" s="35">
        <v>0</v>
      </c>
      <c r="AD15" s="26">
        <v>0</v>
      </c>
      <c r="AE15" s="37"/>
      <c r="AF15" s="91">
        <v>56718.589999999989</v>
      </c>
      <c r="AG15" s="91">
        <v>0</v>
      </c>
      <c r="AH15" s="84"/>
      <c r="AI15" s="91">
        <v>0</v>
      </c>
      <c r="AJ15" s="84">
        <f t="shared" si="2"/>
        <v>0</v>
      </c>
      <c r="AK15" s="159" t="str">
        <f t="shared" si="1"/>
        <v>OK</v>
      </c>
      <c r="AL15" t="s">
        <v>27</v>
      </c>
      <c r="AM15" s="223">
        <v>56718.589999999989</v>
      </c>
      <c r="AN15" s="223">
        <v>0</v>
      </c>
      <c r="AO15" s="223">
        <v>0</v>
      </c>
    </row>
    <row r="16" spans="1:41" x14ac:dyDescent="0.25">
      <c r="A16" s="16" t="s">
        <v>28</v>
      </c>
      <c r="B16" s="35"/>
      <c r="C16" s="35"/>
      <c r="D16" s="26"/>
      <c r="E16" s="35"/>
      <c r="F16" s="26"/>
      <c r="G16" s="37"/>
      <c r="H16" s="35">
        <v>0</v>
      </c>
      <c r="I16" s="35"/>
      <c r="J16" s="26"/>
      <c r="K16" s="35"/>
      <c r="L16" s="26"/>
      <c r="M16" s="37"/>
      <c r="N16" s="35"/>
      <c r="O16" s="35"/>
      <c r="P16" s="26"/>
      <c r="Q16" s="35"/>
      <c r="R16" s="26"/>
      <c r="S16" s="37"/>
      <c r="T16" s="35">
        <v>0</v>
      </c>
      <c r="U16" s="35"/>
      <c r="V16" s="26"/>
      <c r="W16" s="35"/>
      <c r="X16" s="26"/>
      <c r="Y16" s="37"/>
      <c r="Z16" s="35">
        <v>0</v>
      </c>
      <c r="AA16" s="35">
        <v>0</v>
      </c>
      <c r="AB16" s="26"/>
      <c r="AC16" s="35">
        <v>0</v>
      </c>
      <c r="AD16" s="26"/>
      <c r="AE16" s="37"/>
      <c r="AF16" s="91">
        <v>0</v>
      </c>
      <c r="AG16" s="91">
        <v>0</v>
      </c>
      <c r="AH16" s="84"/>
      <c r="AI16" s="91">
        <v>0</v>
      </c>
      <c r="AJ16" s="84" t="str">
        <f t="shared" si="2"/>
        <v/>
      </c>
      <c r="AK16" s="159" t="str">
        <f t="shared" si="1"/>
        <v>OK</v>
      </c>
      <c r="AL16" t="s">
        <v>28</v>
      </c>
      <c r="AM16" s="223">
        <v>0</v>
      </c>
      <c r="AN16" s="223">
        <v>0</v>
      </c>
      <c r="AO16" s="223">
        <v>0</v>
      </c>
    </row>
    <row r="17" spans="1:41" x14ac:dyDescent="0.25">
      <c r="A17" s="16" t="s">
        <v>5</v>
      </c>
      <c r="B17" s="35">
        <v>1006105</v>
      </c>
      <c r="C17" s="35">
        <v>170900.99</v>
      </c>
      <c r="D17" s="26">
        <v>0.16986397046033963</v>
      </c>
      <c r="E17" s="35">
        <v>4742.76</v>
      </c>
      <c r="F17" s="26">
        <v>4.7139811451091095E-3</v>
      </c>
      <c r="G17" s="37"/>
      <c r="H17" s="35">
        <v>1011045</v>
      </c>
      <c r="I17" s="35">
        <v>82012.3</v>
      </c>
      <c r="J17" s="26">
        <v>8.1116369696699955E-2</v>
      </c>
      <c r="K17" s="35">
        <v>38127.910000000003</v>
      </c>
      <c r="L17" s="26">
        <v>3.7711387722603844E-2</v>
      </c>
      <c r="M17" s="37"/>
      <c r="N17" s="35">
        <v>1130933.2800000003</v>
      </c>
      <c r="O17" s="35">
        <v>170290.12999999998</v>
      </c>
      <c r="P17" s="26">
        <v>0.15057486857226443</v>
      </c>
      <c r="Q17" s="35">
        <v>33551.25</v>
      </c>
      <c r="R17" s="26">
        <v>2.9666869472618217E-2</v>
      </c>
      <c r="S17" s="37"/>
      <c r="T17" s="35">
        <v>1314400.3500000008</v>
      </c>
      <c r="U17" s="35">
        <v>578048.33000000007</v>
      </c>
      <c r="V17" s="26">
        <v>0.43978102257809026</v>
      </c>
      <c r="W17" s="35">
        <v>47699.85</v>
      </c>
      <c r="X17" s="26">
        <v>3.629019879673645E-2</v>
      </c>
      <c r="Y17" s="37"/>
      <c r="Z17" s="35">
        <v>2369287.11</v>
      </c>
      <c r="AA17" s="35">
        <v>629095.90000000061</v>
      </c>
      <c r="AB17" s="26">
        <v>0.47861817748298702</v>
      </c>
      <c r="AC17" s="35">
        <v>45068.05999999999</v>
      </c>
      <c r="AD17" s="26">
        <v>3.4287924527713315E-2</v>
      </c>
      <c r="AE17" s="37"/>
      <c r="AF17" s="91">
        <v>2543596.7699999991</v>
      </c>
      <c r="AG17" s="91">
        <v>426127.34999999992</v>
      </c>
      <c r="AH17" s="84">
        <f>AG17/AF17</f>
        <v>0.16752944296276964</v>
      </c>
      <c r="AI17" s="91">
        <v>4676.57</v>
      </c>
      <c r="AJ17" s="84">
        <f t="shared" si="2"/>
        <v>1.8385657880828341E-3</v>
      </c>
      <c r="AK17" s="159" t="str">
        <f t="shared" si="1"/>
        <v>OK</v>
      </c>
      <c r="AL17" t="s">
        <v>5</v>
      </c>
      <c r="AM17" s="223">
        <v>2543596.7699999991</v>
      </c>
      <c r="AN17" s="223">
        <v>426127.34999999992</v>
      </c>
      <c r="AO17" s="223">
        <v>4676.57</v>
      </c>
    </row>
    <row r="18" spans="1:41" x14ac:dyDescent="0.25">
      <c r="A18" s="16" t="s">
        <v>21</v>
      </c>
      <c r="B18" s="35">
        <v>1948477</v>
      </c>
      <c r="C18" s="35">
        <v>259515.54</v>
      </c>
      <c r="D18" s="26">
        <v>0.13318891626639678</v>
      </c>
      <c r="E18" s="35">
        <v>35210.299999999996</v>
      </c>
      <c r="F18" s="26">
        <v>1.8070677765249472E-2</v>
      </c>
      <c r="G18" s="37"/>
      <c r="H18" s="35">
        <v>1975769</v>
      </c>
      <c r="I18" s="35">
        <v>146625.41999999995</v>
      </c>
      <c r="J18" s="26">
        <v>7.4211823345745359E-2</v>
      </c>
      <c r="K18" s="35">
        <v>8172.6200000000008</v>
      </c>
      <c r="L18" s="26">
        <v>4.1364248553348096E-3</v>
      </c>
      <c r="M18" s="37"/>
      <c r="N18" s="35">
        <v>2866236.1600000039</v>
      </c>
      <c r="O18" s="35">
        <v>662940.2799999998</v>
      </c>
      <c r="P18" s="26">
        <v>0.23129297203479524</v>
      </c>
      <c r="Q18" s="35">
        <v>24022.81</v>
      </c>
      <c r="R18" s="26">
        <v>8.3813086776492168E-3</v>
      </c>
      <c r="S18" s="37"/>
      <c r="T18" s="35">
        <v>2937673.9099999955</v>
      </c>
      <c r="U18" s="35">
        <v>480799.42999999976</v>
      </c>
      <c r="V18" s="26">
        <v>0.16366671207560968</v>
      </c>
      <c r="W18" s="35">
        <v>45416.829999999987</v>
      </c>
      <c r="X18" s="26">
        <v>1.5460133218121563E-2</v>
      </c>
      <c r="Y18" s="37"/>
      <c r="Z18" s="35">
        <v>2519550.939999992</v>
      </c>
      <c r="AA18" s="35">
        <v>257048.71</v>
      </c>
      <c r="AB18" s="26">
        <v>8.7500763486714012E-2</v>
      </c>
      <c r="AC18" s="35">
        <v>18442.330000000002</v>
      </c>
      <c r="AD18" s="26">
        <v>6.2778683288234769E-3</v>
      </c>
      <c r="AE18" s="37"/>
      <c r="AF18" s="91">
        <v>2460784.8099999959</v>
      </c>
      <c r="AG18" s="91">
        <v>455570.75999999972</v>
      </c>
      <c r="AH18" s="84">
        <f>AG18/AF18</f>
        <v>0.18513230338088785</v>
      </c>
      <c r="AI18" s="91">
        <v>34477.43</v>
      </c>
      <c r="AJ18" s="84">
        <f t="shared" si="2"/>
        <v>1.4010745620621764E-2</v>
      </c>
      <c r="AK18" s="159" t="str">
        <f t="shared" si="1"/>
        <v>OK</v>
      </c>
      <c r="AL18" t="s">
        <v>21</v>
      </c>
      <c r="AM18" s="223">
        <v>2460784.8099999959</v>
      </c>
      <c r="AN18" s="223">
        <v>455570.75999999972</v>
      </c>
      <c r="AO18" s="223">
        <v>34477.43</v>
      </c>
    </row>
    <row r="19" spans="1:41" x14ac:dyDescent="0.25">
      <c r="A19" s="16" t="s">
        <v>7</v>
      </c>
      <c r="B19" s="35">
        <v>30516542</v>
      </c>
      <c r="C19" s="35">
        <v>1947378.78</v>
      </c>
      <c r="D19" s="26">
        <v>6.3813874455369152E-2</v>
      </c>
      <c r="E19" s="35">
        <v>162415.76</v>
      </c>
      <c r="F19" s="26">
        <v>5.3222203223418961E-3</v>
      </c>
      <c r="G19" s="37"/>
      <c r="H19" s="35">
        <v>32661903</v>
      </c>
      <c r="I19" s="35">
        <v>1914588.85</v>
      </c>
      <c r="J19" s="26">
        <v>5.8618410874589889E-2</v>
      </c>
      <c r="K19" s="35">
        <v>131898.53</v>
      </c>
      <c r="L19" s="26">
        <v>4.038298993172566E-3</v>
      </c>
      <c r="M19" s="37"/>
      <c r="N19" s="35">
        <v>38379703.53999991</v>
      </c>
      <c r="O19" s="35">
        <v>2709386.4199999915</v>
      </c>
      <c r="P19" s="26">
        <v>7.0594250869505229E-2</v>
      </c>
      <c r="Q19" s="35">
        <v>124163.40999999999</v>
      </c>
      <c r="R19" s="26">
        <v>3.2351320762703389E-3</v>
      </c>
      <c r="S19" s="37"/>
      <c r="T19" s="35">
        <v>38139119.509999581</v>
      </c>
      <c r="U19" s="35">
        <v>2664190.2900000047</v>
      </c>
      <c r="V19" s="26">
        <v>6.9854530577232871E-2</v>
      </c>
      <c r="W19" s="35">
        <v>218373.45</v>
      </c>
      <c r="X19" s="26">
        <v>5.7257076934548881E-3</v>
      </c>
      <c r="Y19" s="37"/>
      <c r="Z19" s="35">
        <v>37374400.070000038</v>
      </c>
      <c r="AA19" s="35">
        <v>3344401.7199999904</v>
      </c>
      <c r="AB19" s="26">
        <v>8.768953670058198E-2</v>
      </c>
      <c r="AC19" s="35">
        <v>241050.24000000005</v>
      </c>
      <c r="AD19" s="26">
        <v>6.3202885409244913E-3</v>
      </c>
      <c r="AE19" s="37"/>
      <c r="AF19" s="91">
        <v>37868179.580000155</v>
      </c>
      <c r="AG19" s="91">
        <v>3073960.16</v>
      </c>
      <c r="AH19" s="84">
        <f>AG19/AF19</f>
        <v>8.1175282099472598E-2</v>
      </c>
      <c r="AI19" s="91">
        <v>120343.07</v>
      </c>
      <c r="AJ19" s="84">
        <f t="shared" si="2"/>
        <v>3.1779470609555908E-3</v>
      </c>
      <c r="AK19" s="159" t="str">
        <f t="shared" si="1"/>
        <v>OK</v>
      </c>
      <c r="AL19" t="s">
        <v>7</v>
      </c>
      <c r="AM19" s="223">
        <v>37868179.580000155</v>
      </c>
      <c r="AN19" s="223">
        <v>3073960.16</v>
      </c>
      <c r="AO19" s="223">
        <v>120343.07</v>
      </c>
    </row>
    <row r="20" spans="1:41" x14ac:dyDescent="0.25">
      <c r="A20" s="16" t="s">
        <v>6</v>
      </c>
      <c r="B20" s="35"/>
      <c r="C20" s="35"/>
      <c r="D20" s="26"/>
      <c r="E20" s="35">
        <v>0</v>
      </c>
      <c r="F20" s="26"/>
      <c r="G20" s="37"/>
      <c r="H20" s="35">
        <v>0</v>
      </c>
      <c r="I20" s="35"/>
      <c r="J20" s="26"/>
      <c r="K20" s="35">
        <v>0</v>
      </c>
      <c r="L20" s="26"/>
      <c r="M20" s="37"/>
      <c r="N20" s="35">
        <v>0</v>
      </c>
      <c r="O20" s="35"/>
      <c r="P20" s="26"/>
      <c r="Q20" s="35"/>
      <c r="R20" s="26"/>
      <c r="S20" s="37"/>
      <c r="T20" s="35">
        <v>0</v>
      </c>
      <c r="U20" s="35"/>
      <c r="V20" s="26"/>
      <c r="W20" s="35"/>
      <c r="X20" s="26"/>
      <c r="Y20" s="37"/>
      <c r="Z20" s="35">
        <v>0</v>
      </c>
      <c r="AA20" s="35">
        <v>0</v>
      </c>
      <c r="AB20" s="26"/>
      <c r="AC20" s="35">
        <v>0</v>
      </c>
      <c r="AD20" s="26"/>
      <c r="AE20" s="37"/>
      <c r="AF20" s="91">
        <v>0</v>
      </c>
      <c r="AG20" s="91">
        <v>0</v>
      </c>
      <c r="AH20" s="84"/>
      <c r="AI20" s="91">
        <v>0</v>
      </c>
      <c r="AJ20" s="84" t="str">
        <f t="shared" si="2"/>
        <v/>
      </c>
      <c r="AK20" s="159" t="str">
        <f t="shared" si="1"/>
        <v>OK</v>
      </c>
      <c r="AL20" t="s">
        <v>6</v>
      </c>
      <c r="AM20" s="223">
        <v>0</v>
      </c>
      <c r="AN20" s="223">
        <v>0</v>
      </c>
      <c r="AO20" s="223">
        <v>0</v>
      </c>
    </row>
    <row r="21" spans="1:41" x14ac:dyDescent="0.25">
      <c r="A21" s="16" t="s">
        <v>29</v>
      </c>
      <c r="B21" s="35"/>
      <c r="C21" s="35"/>
      <c r="D21" s="26"/>
      <c r="E21" s="35"/>
      <c r="F21" s="26"/>
      <c r="G21" s="37"/>
      <c r="H21" s="35">
        <v>0</v>
      </c>
      <c r="I21" s="35"/>
      <c r="J21" s="26"/>
      <c r="K21" s="35"/>
      <c r="L21" s="26"/>
      <c r="M21" s="37"/>
      <c r="N21" s="35">
        <v>0</v>
      </c>
      <c r="O21" s="35"/>
      <c r="P21" s="26"/>
      <c r="Q21" s="35"/>
      <c r="R21" s="26"/>
      <c r="S21" s="37"/>
      <c r="T21" s="35">
        <v>0</v>
      </c>
      <c r="U21" s="35"/>
      <c r="V21" s="26"/>
      <c r="W21" s="35"/>
      <c r="X21" s="26"/>
      <c r="Y21" s="37"/>
      <c r="Z21" s="35">
        <v>0</v>
      </c>
      <c r="AA21" s="35"/>
      <c r="AB21" s="26"/>
      <c r="AC21" s="35">
        <v>0</v>
      </c>
      <c r="AD21" s="26"/>
      <c r="AE21" s="37"/>
      <c r="AF21" s="91">
        <v>0</v>
      </c>
      <c r="AG21" s="91">
        <v>0</v>
      </c>
      <c r="AH21" s="84"/>
      <c r="AI21" s="91">
        <v>0</v>
      </c>
      <c r="AJ21" s="84" t="str">
        <f t="shared" si="2"/>
        <v/>
      </c>
      <c r="AK21" s="159" t="str">
        <f t="shared" si="1"/>
        <v>OK</v>
      </c>
      <c r="AL21" t="s">
        <v>29</v>
      </c>
      <c r="AM21" s="223">
        <v>0</v>
      </c>
      <c r="AN21" s="223">
        <v>0</v>
      </c>
      <c r="AO21" s="223">
        <v>0</v>
      </c>
    </row>
    <row r="22" spans="1:41" x14ac:dyDescent="0.25">
      <c r="A22" s="16" t="s">
        <v>8</v>
      </c>
      <c r="B22" s="35">
        <v>772690</v>
      </c>
      <c r="C22" s="35">
        <v>322499.15999999997</v>
      </c>
      <c r="D22" s="26">
        <v>0.4173719861781568</v>
      </c>
      <c r="E22" s="35">
        <v>220426.90000000002</v>
      </c>
      <c r="F22" s="26">
        <v>0.28527210136018327</v>
      </c>
      <c r="G22" s="37"/>
      <c r="H22" s="35">
        <v>824744</v>
      </c>
      <c r="I22" s="35">
        <v>92046.170000000013</v>
      </c>
      <c r="J22" s="26">
        <v>0.11160574675293183</v>
      </c>
      <c r="K22" s="35">
        <v>4948.79</v>
      </c>
      <c r="L22" s="26">
        <v>6.0003952741699241E-3</v>
      </c>
      <c r="M22" s="37"/>
      <c r="N22" s="35">
        <v>505269.7899999998</v>
      </c>
      <c r="O22" s="35">
        <v>136133.79999999999</v>
      </c>
      <c r="P22" s="26">
        <v>0.26942794264426545</v>
      </c>
      <c r="Q22" s="35">
        <v>31005.690000000002</v>
      </c>
      <c r="R22" s="26">
        <v>6.1364622650406257E-2</v>
      </c>
      <c r="S22" s="37"/>
      <c r="T22" s="35">
        <v>311757.63000000012</v>
      </c>
      <c r="U22" s="35">
        <v>84878.239999999991</v>
      </c>
      <c r="V22" s="26">
        <v>0.27225713770020626</v>
      </c>
      <c r="W22" s="35">
        <v>61393.659999999989</v>
      </c>
      <c r="X22" s="26">
        <v>0.19692752988916412</v>
      </c>
      <c r="Y22" s="37"/>
      <c r="Z22" s="35">
        <v>269318.78000000003</v>
      </c>
      <c r="AA22" s="35">
        <v>36086.1</v>
      </c>
      <c r="AB22" s="26">
        <v>0.11575049502397097</v>
      </c>
      <c r="AC22" s="35">
        <v>4030.73</v>
      </c>
      <c r="AD22" s="26">
        <v>1.292905004442072E-2</v>
      </c>
      <c r="AE22" s="37"/>
      <c r="AF22" s="91">
        <v>261081.91000000003</v>
      </c>
      <c r="AG22" s="91">
        <v>48682.9</v>
      </c>
      <c r="AH22" s="84">
        <f>AG22/AF22</f>
        <v>0.18646600218299306</v>
      </c>
      <c r="AI22" s="91">
        <v>1893.96</v>
      </c>
      <c r="AJ22" s="84">
        <f t="shared" si="2"/>
        <v>7.2542751046979848E-3</v>
      </c>
      <c r="AK22" s="159" t="str">
        <f t="shared" si="1"/>
        <v>OK</v>
      </c>
      <c r="AL22" t="s">
        <v>8</v>
      </c>
      <c r="AM22" s="223">
        <v>261081.91000000003</v>
      </c>
      <c r="AN22" s="223">
        <v>48682.9</v>
      </c>
      <c r="AO22" s="223">
        <v>1893.96</v>
      </c>
    </row>
    <row r="23" spans="1:41" x14ac:dyDescent="0.25">
      <c r="A23" s="16" t="s">
        <v>9</v>
      </c>
      <c r="B23" s="35">
        <v>6137766</v>
      </c>
      <c r="C23" s="35">
        <v>527834.54</v>
      </c>
      <c r="D23" s="26">
        <v>8.5997827222478021E-2</v>
      </c>
      <c r="E23" s="35">
        <v>12000.849999999999</v>
      </c>
      <c r="F23" s="26">
        <v>1.9552472349059899E-3</v>
      </c>
      <c r="G23" s="37"/>
      <c r="H23" s="35">
        <v>5750861</v>
      </c>
      <c r="I23" s="35">
        <v>424789.14</v>
      </c>
      <c r="J23" s="26">
        <v>7.3865311646377829E-2</v>
      </c>
      <c r="K23" s="35">
        <v>17659.79</v>
      </c>
      <c r="L23" s="26">
        <v>3.0708080059664109E-3</v>
      </c>
      <c r="M23" s="37"/>
      <c r="N23" s="35">
        <v>6135518.3699999731</v>
      </c>
      <c r="O23" s="35">
        <v>758329.14000000025</v>
      </c>
      <c r="P23" s="26">
        <v>0.12359658862858292</v>
      </c>
      <c r="Q23" s="35">
        <v>40518.339999999997</v>
      </c>
      <c r="R23" s="26">
        <v>6.6038984086686341E-3</v>
      </c>
      <c r="S23" s="37"/>
      <c r="T23" s="35">
        <v>5708077.5299999928</v>
      </c>
      <c r="U23" s="35">
        <v>645940.58000000019</v>
      </c>
      <c r="V23" s="26">
        <v>0.11316254493831324</v>
      </c>
      <c r="W23" s="35">
        <v>97517.18</v>
      </c>
      <c r="X23" s="26">
        <v>1.708406718154722E-2</v>
      </c>
      <c r="Y23" s="37"/>
      <c r="Z23" s="35">
        <v>5263103.8199999891</v>
      </c>
      <c r="AA23" s="35">
        <v>674199.94999999984</v>
      </c>
      <c r="AB23" s="26">
        <v>0.11811331336279181</v>
      </c>
      <c r="AC23" s="35">
        <v>70930.460000000006</v>
      </c>
      <c r="AD23" s="26">
        <v>1.2426330866602664E-2</v>
      </c>
      <c r="AE23" s="37"/>
      <c r="AF23" s="91">
        <v>5292838.3599999715</v>
      </c>
      <c r="AG23" s="91">
        <v>828822.42999999993</v>
      </c>
      <c r="AH23" s="84">
        <f>AG23/AF23</f>
        <v>0.15659318755390905</v>
      </c>
      <c r="AI23" s="91">
        <v>60258.64</v>
      </c>
      <c r="AJ23" s="84">
        <f t="shared" si="2"/>
        <v>1.1384938647550221E-2</v>
      </c>
      <c r="AK23" s="159" t="str">
        <f t="shared" si="1"/>
        <v>OK</v>
      </c>
      <c r="AL23" t="s">
        <v>9</v>
      </c>
      <c r="AM23" s="223">
        <v>5292838.3599999715</v>
      </c>
      <c r="AN23" s="223">
        <v>828822.42999999993</v>
      </c>
      <c r="AO23" s="223">
        <v>60258.64</v>
      </c>
    </row>
    <row r="24" spans="1:41" x14ac:dyDescent="0.25">
      <c r="A24" s="16" t="s">
        <v>23</v>
      </c>
      <c r="B24" s="35">
        <v>154207962</v>
      </c>
      <c r="C24" s="35">
        <v>20040641.870000001</v>
      </c>
      <c r="D24" s="26">
        <v>0.12995854176452964</v>
      </c>
      <c r="E24" s="35">
        <v>1545308.41</v>
      </c>
      <c r="F24" s="26">
        <v>1.0020937894244396E-2</v>
      </c>
      <c r="G24" s="37"/>
      <c r="H24" s="35">
        <v>159638517</v>
      </c>
      <c r="I24" s="35">
        <v>20101249.639999934</v>
      </c>
      <c r="J24" s="26">
        <v>0.1259172912512081</v>
      </c>
      <c r="K24" s="35">
        <v>1948371.879999999</v>
      </c>
      <c r="L24" s="26">
        <v>1.2204898395541966E-2</v>
      </c>
      <c r="M24" s="37"/>
      <c r="N24" s="35">
        <v>171860589.29999661</v>
      </c>
      <c r="O24" s="35">
        <v>25029833.520000007</v>
      </c>
      <c r="P24" s="26">
        <v>0.14564033337688839</v>
      </c>
      <c r="Q24" s="35">
        <v>2324898.3099999996</v>
      </c>
      <c r="R24" s="26">
        <v>1.3527815303494048E-2</v>
      </c>
      <c r="S24" s="37"/>
      <c r="T24" s="35">
        <v>185682312.35999787</v>
      </c>
      <c r="U24" s="35">
        <v>27364182.620000064</v>
      </c>
      <c r="V24" s="26">
        <v>0.14737097073062527</v>
      </c>
      <c r="W24" s="35">
        <v>2413172.2600000035</v>
      </c>
      <c r="X24" s="26">
        <v>1.2996241964724051E-2</v>
      </c>
      <c r="Y24" s="37"/>
      <c r="Z24" s="35">
        <v>196112500.62999451</v>
      </c>
      <c r="AA24" s="35">
        <v>29269464.839999828</v>
      </c>
      <c r="AB24" s="26">
        <v>0.15763194925778748</v>
      </c>
      <c r="AC24" s="35">
        <v>2943984.2400000021</v>
      </c>
      <c r="AD24" s="26">
        <v>1.5854952486224174E-2</v>
      </c>
      <c r="AE24" s="37"/>
      <c r="AF24" s="91">
        <v>205607239.63999593</v>
      </c>
      <c r="AG24" s="91">
        <v>28151972.989999976</v>
      </c>
      <c r="AH24" s="84">
        <f>AG24/AF24</f>
        <v>0.13692111736577045</v>
      </c>
      <c r="AI24" s="91">
        <v>2656398.2499999995</v>
      </c>
      <c r="AJ24" s="84">
        <f t="shared" si="2"/>
        <v>1.2919770017102362E-2</v>
      </c>
      <c r="AK24" s="159" t="str">
        <f t="shared" si="1"/>
        <v>OK</v>
      </c>
      <c r="AL24" t="s">
        <v>23</v>
      </c>
      <c r="AM24" s="223">
        <v>205607239.63999593</v>
      </c>
      <c r="AN24" s="223">
        <v>28151972.989999976</v>
      </c>
      <c r="AO24" s="223">
        <v>2656398.2499999995</v>
      </c>
    </row>
    <row r="25" spans="1:41" x14ac:dyDescent="0.25">
      <c r="A25" s="16" t="s">
        <v>24</v>
      </c>
      <c r="B25" s="35"/>
      <c r="C25" s="35"/>
      <c r="D25" s="26"/>
      <c r="E25" s="35"/>
      <c r="F25" s="26"/>
      <c r="G25" s="37"/>
      <c r="H25" s="35">
        <v>0</v>
      </c>
      <c r="I25" s="35"/>
      <c r="J25" s="26"/>
      <c r="K25" s="35"/>
      <c r="L25" s="26"/>
      <c r="M25" s="37"/>
      <c r="N25" s="35">
        <v>0</v>
      </c>
      <c r="O25" s="35"/>
      <c r="P25" s="26"/>
      <c r="Q25" s="35"/>
      <c r="R25" s="26"/>
      <c r="S25" s="37"/>
      <c r="T25" s="35">
        <v>0</v>
      </c>
      <c r="U25" s="35"/>
      <c r="V25" s="26"/>
      <c r="W25" s="35"/>
      <c r="X25" s="26"/>
      <c r="Y25" s="37"/>
      <c r="Z25" s="35">
        <v>0</v>
      </c>
      <c r="AA25" s="35"/>
      <c r="AB25" s="26"/>
      <c r="AC25" s="35">
        <v>0</v>
      </c>
      <c r="AD25" s="26"/>
      <c r="AE25" s="37"/>
      <c r="AF25" s="91">
        <v>0</v>
      </c>
      <c r="AG25" s="91">
        <v>0</v>
      </c>
      <c r="AH25" s="84"/>
      <c r="AI25" s="91">
        <v>0</v>
      </c>
      <c r="AJ25" s="84" t="str">
        <f t="shared" si="2"/>
        <v/>
      </c>
      <c r="AK25" s="159" t="str">
        <f t="shared" si="1"/>
        <v>OK</v>
      </c>
      <c r="AL25" t="s">
        <v>24</v>
      </c>
      <c r="AM25" s="223">
        <v>0</v>
      </c>
      <c r="AN25" s="223">
        <v>0</v>
      </c>
      <c r="AO25" s="223">
        <v>0</v>
      </c>
    </row>
    <row r="26" spans="1:41" x14ac:dyDescent="0.25">
      <c r="A26" s="16" t="s">
        <v>33</v>
      </c>
      <c r="B26" s="35"/>
      <c r="C26" s="35"/>
      <c r="D26" s="26"/>
      <c r="E26" s="35"/>
      <c r="F26" s="26"/>
      <c r="G26" s="37"/>
      <c r="H26" s="35">
        <v>0</v>
      </c>
      <c r="I26" s="35"/>
      <c r="J26" s="26"/>
      <c r="K26" s="35"/>
      <c r="L26" s="26"/>
      <c r="M26" s="37"/>
      <c r="N26" s="35">
        <v>0</v>
      </c>
      <c r="O26" s="35">
        <v>0</v>
      </c>
      <c r="P26" s="26"/>
      <c r="Q26" s="35"/>
      <c r="R26" s="26"/>
      <c r="S26" s="37"/>
      <c r="T26" s="35">
        <v>0</v>
      </c>
      <c r="U26" s="35"/>
      <c r="V26" s="26"/>
      <c r="W26" s="35"/>
      <c r="X26" s="26"/>
      <c r="Y26" s="37"/>
      <c r="Z26" s="35">
        <v>0</v>
      </c>
      <c r="AA26" s="35">
        <v>0</v>
      </c>
      <c r="AB26" s="26"/>
      <c r="AC26" s="35">
        <v>0</v>
      </c>
      <c r="AD26" s="26"/>
      <c r="AE26" s="37"/>
      <c r="AF26" s="91">
        <v>0</v>
      </c>
      <c r="AG26" s="91">
        <v>0</v>
      </c>
      <c r="AH26" s="84"/>
      <c r="AI26" s="91">
        <v>0</v>
      </c>
      <c r="AJ26" s="84" t="str">
        <f t="shared" si="2"/>
        <v/>
      </c>
      <c r="AK26" s="159" t="str">
        <f t="shared" si="1"/>
        <v>OK</v>
      </c>
      <c r="AL26" t="s">
        <v>33</v>
      </c>
      <c r="AM26" s="223">
        <v>0</v>
      </c>
      <c r="AN26" s="223">
        <v>0</v>
      </c>
      <c r="AO26" s="223">
        <v>0</v>
      </c>
    </row>
    <row r="27" spans="1:41" x14ac:dyDescent="0.25">
      <c r="A27" s="16" t="s">
        <v>10</v>
      </c>
      <c r="B27" s="35">
        <v>465285</v>
      </c>
      <c r="C27" s="35">
        <v>4248.01</v>
      </c>
      <c r="D27" s="26">
        <v>9.1299096252834295E-3</v>
      </c>
      <c r="E27" s="35">
        <v>0</v>
      </c>
      <c r="F27" s="26">
        <v>0</v>
      </c>
      <c r="G27" s="37"/>
      <c r="H27" s="35">
        <v>108353</v>
      </c>
      <c r="I27" s="35">
        <v>34390.43</v>
      </c>
      <c r="J27" s="26">
        <v>0.31739250413001946</v>
      </c>
      <c r="K27" s="35">
        <v>0</v>
      </c>
      <c r="L27" s="26">
        <v>0</v>
      </c>
      <c r="M27" s="37"/>
      <c r="N27" s="35">
        <v>124990.11999999997</v>
      </c>
      <c r="O27" s="35">
        <v>13775.329999999998</v>
      </c>
      <c r="P27" s="26">
        <v>0.11021135110519137</v>
      </c>
      <c r="Q27" s="35">
        <v>0</v>
      </c>
      <c r="R27" s="26">
        <v>0</v>
      </c>
      <c r="S27" s="37"/>
      <c r="T27" s="35">
        <v>240563.68000000011</v>
      </c>
      <c r="U27" s="35">
        <v>27446.760000000002</v>
      </c>
      <c r="V27" s="26">
        <v>0.11409353232374891</v>
      </c>
      <c r="W27" s="35">
        <v>-1.999999999998181E-2</v>
      </c>
      <c r="X27" s="26">
        <v>-8.3138069720174714E-8</v>
      </c>
      <c r="Y27" s="37"/>
      <c r="Z27" s="35">
        <v>160307.01999999996</v>
      </c>
      <c r="AA27" s="35">
        <v>31556.78</v>
      </c>
      <c r="AB27" s="26">
        <v>0.13117848878933006</v>
      </c>
      <c r="AC27" s="35">
        <v>0</v>
      </c>
      <c r="AD27" s="26">
        <v>0</v>
      </c>
      <c r="AE27" s="37"/>
      <c r="AF27" s="91">
        <v>221535.73</v>
      </c>
      <c r="AG27" s="91">
        <v>43149.3</v>
      </c>
      <c r="AH27" s="84">
        <f t="shared" ref="AH27:AH37" si="3">AG27/AF27</f>
        <v>0.19477354736412045</v>
      </c>
      <c r="AI27" s="91">
        <v>23421.390000000003</v>
      </c>
      <c r="AJ27" s="84">
        <f t="shared" si="2"/>
        <v>0.10572285563145954</v>
      </c>
      <c r="AK27" s="159" t="str">
        <f t="shared" si="1"/>
        <v>OK</v>
      </c>
      <c r="AL27" t="s">
        <v>10</v>
      </c>
      <c r="AM27" s="223">
        <v>221535.73</v>
      </c>
      <c r="AN27" s="223">
        <v>43149.3</v>
      </c>
      <c r="AO27" s="223">
        <v>23421.390000000003</v>
      </c>
    </row>
    <row r="28" spans="1:41" x14ac:dyDescent="0.25">
      <c r="A28" s="16" t="s">
        <v>358</v>
      </c>
      <c r="B28" s="35">
        <v>483190</v>
      </c>
      <c r="C28" s="35">
        <v>101065.49</v>
      </c>
      <c r="D28" s="26">
        <v>0.20916304145367248</v>
      </c>
      <c r="E28" s="35">
        <v>7420.94</v>
      </c>
      <c r="F28" s="26">
        <v>1.5358223473167905E-2</v>
      </c>
      <c r="G28" s="37"/>
      <c r="H28" s="35">
        <v>837017</v>
      </c>
      <c r="I28" s="35">
        <v>244700.55999999991</v>
      </c>
      <c r="J28" s="26">
        <v>0.29234837524207979</v>
      </c>
      <c r="K28" s="35">
        <v>56631.78</v>
      </c>
      <c r="L28" s="26">
        <v>6.7659055909258706E-2</v>
      </c>
      <c r="M28" s="37"/>
      <c r="N28" s="35">
        <v>837864.2200000002</v>
      </c>
      <c r="O28" s="35">
        <v>103167.64999999998</v>
      </c>
      <c r="P28" s="26">
        <v>0.1231317050392723</v>
      </c>
      <c r="Q28" s="35">
        <v>1740.01</v>
      </c>
      <c r="R28" s="26">
        <v>2.0767207364458164E-3</v>
      </c>
      <c r="S28" s="37"/>
      <c r="T28" s="35">
        <v>577645.15999999992</v>
      </c>
      <c r="U28" s="35">
        <v>40913.459999999992</v>
      </c>
      <c r="V28" s="26">
        <v>7.082801490105102E-2</v>
      </c>
      <c r="W28" s="35">
        <v>2731.08</v>
      </c>
      <c r="X28" s="26">
        <v>4.727954441789143E-3</v>
      </c>
      <c r="Y28" s="37"/>
      <c r="Z28" s="35">
        <v>314038.68999999994</v>
      </c>
      <c r="AA28" s="35">
        <v>50677.670000000013</v>
      </c>
      <c r="AB28" s="26">
        <v>8.7731488999232707E-2</v>
      </c>
      <c r="AC28" s="35">
        <v>1142.77</v>
      </c>
      <c r="AD28" s="26">
        <v>1.9783252403603627E-3</v>
      </c>
      <c r="AE28" s="37"/>
      <c r="AF28" s="91">
        <v>300499.14</v>
      </c>
      <c r="AG28" s="91">
        <v>24525.93</v>
      </c>
      <c r="AH28" s="84">
        <f t="shared" si="3"/>
        <v>8.1617305127728482E-2</v>
      </c>
      <c r="AI28" s="91">
        <v>1029.18</v>
      </c>
      <c r="AJ28" s="84">
        <f t="shared" si="2"/>
        <v>3.424901648636998E-3</v>
      </c>
      <c r="AK28" s="159" t="str">
        <f t="shared" si="1"/>
        <v>OK</v>
      </c>
      <c r="AL28" t="s">
        <v>358</v>
      </c>
      <c r="AM28" s="223">
        <v>300499.14</v>
      </c>
      <c r="AN28" s="223">
        <v>24525.93</v>
      </c>
      <c r="AO28" s="223">
        <v>1029.18</v>
      </c>
    </row>
    <row r="29" spans="1:41" x14ac:dyDescent="0.25">
      <c r="A29" s="16" t="s">
        <v>190</v>
      </c>
      <c r="B29" s="35">
        <v>4785652</v>
      </c>
      <c r="C29" s="35">
        <v>539752.67000000004</v>
      </c>
      <c r="D29" s="26">
        <v>0.11278560789626994</v>
      </c>
      <c r="E29" s="35">
        <v>47073.040000000008</v>
      </c>
      <c r="F29" s="26">
        <v>9.83628563046373E-3</v>
      </c>
      <c r="G29" s="37"/>
      <c r="H29" s="35">
        <v>4722034</v>
      </c>
      <c r="I29" s="35">
        <v>242916.41000000009</v>
      </c>
      <c r="J29" s="26">
        <v>5.1443172581984817E-2</v>
      </c>
      <c r="K29" s="35">
        <v>27216.080000000005</v>
      </c>
      <c r="L29" s="26">
        <v>5.7636349081772826E-3</v>
      </c>
      <c r="M29" s="37"/>
      <c r="N29" s="35">
        <v>4784260.9300000081</v>
      </c>
      <c r="O29" s="35">
        <v>175382.56999999995</v>
      </c>
      <c r="P29" s="26">
        <v>3.6658236782248339E-2</v>
      </c>
      <c r="Q29" s="35">
        <v>12398.28</v>
      </c>
      <c r="R29" s="26">
        <v>2.5914723677080004E-3</v>
      </c>
      <c r="S29" s="37"/>
      <c r="T29" s="35">
        <v>5074591.109999992</v>
      </c>
      <c r="U29" s="35">
        <v>208608.04000000004</v>
      </c>
      <c r="V29" s="26">
        <v>4.1108344589363452E-2</v>
      </c>
      <c r="W29" s="35">
        <v>2272.7299999999996</v>
      </c>
      <c r="X29" s="26">
        <v>4.478646556411918E-4</v>
      </c>
      <c r="Y29" s="37"/>
      <c r="Z29" s="35">
        <v>5283178.0599999949</v>
      </c>
      <c r="AA29" s="35">
        <v>322611.50999999989</v>
      </c>
      <c r="AB29" s="26">
        <v>6.357389255742428E-2</v>
      </c>
      <c r="AC29" s="35">
        <v>67098.800000000017</v>
      </c>
      <c r="AD29" s="26">
        <v>1.3222503753607869E-2</v>
      </c>
      <c r="AE29" s="37"/>
      <c r="AF29" s="91">
        <v>5102578.8499999931</v>
      </c>
      <c r="AG29" s="91">
        <v>489721.0699999996</v>
      </c>
      <c r="AH29" s="84">
        <f t="shared" si="3"/>
        <v>9.5975208692757441E-2</v>
      </c>
      <c r="AI29" s="91">
        <v>47032.259999999995</v>
      </c>
      <c r="AJ29" s="84">
        <f t="shared" si="2"/>
        <v>9.2173509479427373E-3</v>
      </c>
      <c r="AK29" s="159" t="str">
        <f t="shared" si="1"/>
        <v>OK</v>
      </c>
      <c r="AL29" t="s">
        <v>190</v>
      </c>
      <c r="AM29" s="223">
        <v>5102578.8499999931</v>
      </c>
      <c r="AN29" s="223">
        <v>489721.0699999996</v>
      </c>
      <c r="AO29" s="223">
        <v>47032.259999999995</v>
      </c>
    </row>
    <row r="30" spans="1:41" x14ac:dyDescent="0.25">
      <c r="A30" s="16" t="s">
        <v>11</v>
      </c>
      <c r="B30" s="35">
        <v>5368618</v>
      </c>
      <c r="C30" s="35">
        <v>490047.96</v>
      </c>
      <c r="D30" s="26">
        <v>9.1280094802796558E-2</v>
      </c>
      <c r="E30" s="35">
        <v>27832.45</v>
      </c>
      <c r="F30" s="26">
        <v>5.1842857882605916E-3</v>
      </c>
      <c r="G30" s="37"/>
      <c r="H30" s="35">
        <v>5021214</v>
      </c>
      <c r="I30" s="35">
        <v>221718.52000000014</v>
      </c>
      <c r="J30" s="26">
        <v>4.415635740679448E-2</v>
      </c>
      <c r="K30" s="35">
        <v>17671.349999999999</v>
      </c>
      <c r="L30" s="26">
        <v>3.5193381520883193E-3</v>
      </c>
      <c r="M30" s="37"/>
      <c r="N30" s="35">
        <v>4387691.0799999824</v>
      </c>
      <c r="O30" s="35">
        <v>324377.93</v>
      </c>
      <c r="P30" s="26">
        <v>7.3929072053085673E-2</v>
      </c>
      <c r="Q30" s="35">
        <v>13369.850000000002</v>
      </c>
      <c r="R30" s="26">
        <v>3.0471265538594061E-3</v>
      </c>
      <c r="S30" s="37"/>
      <c r="T30" s="35">
        <v>5191228.6200000038</v>
      </c>
      <c r="U30" s="35">
        <v>466740.74000000005</v>
      </c>
      <c r="V30" s="26">
        <v>8.9909494296169082E-2</v>
      </c>
      <c r="W30" s="35">
        <v>13190.84</v>
      </c>
      <c r="X30" s="26">
        <v>2.5409861452027498E-3</v>
      </c>
      <c r="Y30" s="37"/>
      <c r="Z30" s="35">
        <v>5691959.10999995</v>
      </c>
      <c r="AA30" s="35">
        <v>568800.87999999989</v>
      </c>
      <c r="AB30" s="26">
        <v>0.10956960704997798</v>
      </c>
      <c r="AC30" s="35">
        <v>19213.07</v>
      </c>
      <c r="AD30" s="26">
        <v>3.7010641230437631E-3</v>
      </c>
      <c r="AE30" s="37"/>
      <c r="AF30" s="91">
        <v>5791445.4199999915</v>
      </c>
      <c r="AG30" s="91">
        <v>469497.59000000032</v>
      </c>
      <c r="AH30" s="84">
        <f t="shared" si="3"/>
        <v>8.1067428932102586E-2</v>
      </c>
      <c r="AI30" s="91">
        <v>12040.04</v>
      </c>
      <c r="AJ30" s="84">
        <f t="shared" si="2"/>
        <v>2.0789352444592355E-3</v>
      </c>
      <c r="AK30" s="159" t="str">
        <f t="shared" si="1"/>
        <v>OK</v>
      </c>
      <c r="AL30" t="s">
        <v>11</v>
      </c>
      <c r="AM30" s="223">
        <v>5791445.4199999915</v>
      </c>
      <c r="AN30" s="223">
        <v>469497.59000000032</v>
      </c>
      <c r="AO30" s="223">
        <v>12040.04</v>
      </c>
    </row>
    <row r="31" spans="1:41" x14ac:dyDescent="0.25">
      <c r="A31" s="16" t="s">
        <v>12</v>
      </c>
      <c r="B31" s="35">
        <v>3516065</v>
      </c>
      <c r="C31" s="35">
        <v>299449.23</v>
      </c>
      <c r="D31" s="26">
        <v>8.5166010867262124E-2</v>
      </c>
      <c r="E31" s="35">
        <v>72579.989999999991</v>
      </c>
      <c r="F31" s="26">
        <v>2.0642391423366744E-2</v>
      </c>
      <c r="G31" s="37"/>
      <c r="H31" s="35">
        <v>3794509</v>
      </c>
      <c r="I31" s="35">
        <v>418349.37000000017</v>
      </c>
      <c r="J31" s="26">
        <v>0.1102512525335953</v>
      </c>
      <c r="K31" s="35">
        <v>47338.909999999996</v>
      </c>
      <c r="L31" s="26">
        <v>1.2475635187582898E-2</v>
      </c>
      <c r="M31" s="37"/>
      <c r="N31" s="35">
        <v>5071634.979999993</v>
      </c>
      <c r="O31" s="35">
        <v>491970.5500000004</v>
      </c>
      <c r="P31" s="26">
        <v>9.7004329361258773E-2</v>
      </c>
      <c r="Q31" s="35">
        <v>125528.70000000001</v>
      </c>
      <c r="R31" s="26">
        <v>2.4751130650179438E-2</v>
      </c>
      <c r="S31" s="37"/>
      <c r="T31" s="35">
        <v>5138595.5299999854</v>
      </c>
      <c r="U31" s="35">
        <v>633303.58999999985</v>
      </c>
      <c r="V31" s="26">
        <v>0.12324449089302066</v>
      </c>
      <c r="W31" s="35">
        <v>59620.5</v>
      </c>
      <c r="X31" s="26">
        <v>1.1602489367362247E-2</v>
      </c>
      <c r="Y31" s="37"/>
      <c r="Z31" s="35">
        <v>4102392.4499999802</v>
      </c>
      <c r="AA31" s="35">
        <v>355240.11999999976</v>
      </c>
      <c r="AB31" s="26">
        <v>6.913175359415781E-2</v>
      </c>
      <c r="AC31" s="35">
        <v>30955.920000000002</v>
      </c>
      <c r="AD31" s="26">
        <v>6.0241986004296571E-3</v>
      </c>
      <c r="AE31" s="37"/>
      <c r="AF31" s="91">
        <v>4267418.0499999877</v>
      </c>
      <c r="AG31" s="91">
        <v>376419.91999999987</v>
      </c>
      <c r="AH31" s="84">
        <f t="shared" si="3"/>
        <v>8.8207884859089661E-2</v>
      </c>
      <c r="AI31" s="91">
        <v>4041.9199999999996</v>
      </c>
      <c r="AJ31" s="84">
        <f t="shared" si="2"/>
        <v>9.4715820026116521E-4</v>
      </c>
      <c r="AK31" s="159" t="str">
        <f t="shared" si="1"/>
        <v>OK</v>
      </c>
      <c r="AL31" t="s">
        <v>12</v>
      </c>
      <c r="AM31" s="223">
        <v>4267418.0499999877</v>
      </c>
      <c r="AN31" s="223">
        <v>376419.91999999987</v>
      </c>
      <c r="AO31" s="223">
        <v>4041.9199999999996</v>
      </c>
    </row>
    <row r="32" spans="1:41" x14ac:dyDescent="0.25">
      <c r="A32" s="16" t="s">
        <v>13</v>
      </c>
      <c r="B32" s="35">
        <v>1531235</v>
      </c>
      <c r="C32" s="35">
        <v>118051.57</v>
      </c>
      <c r="D32" s="26">
        <v>7.7095658079915891E-2</v>
      </c>
      <c r="E32" s="35">
        <v>2371.38</v>
      </c>
      <c r="F32" s="26">
        <v>1.5486714971901766E-3</v>
      </c>
      <c r="G32" s="37"/>
      <c r="H32" s="35">
        <v>1246933</v>
      </c>
      <c r="I32" s="35">
        <v>83528.319999999978</v>
      </c>
      <c r="J32" s="26">
        <v>6.698701534084027E-2</v>
      </c>
      <c r="K32" s="35">
        <v>7675.24</v>
      </c>
      <c r="L32" s="26">
        <v>6.1552946309063918E-3</v>
      </c>
      <c r="M32" s="37"/>
      <c r="N32" s="35">
        <v>1427818.4100000001</v>
      </c>
      <c r="O32" s="35">
        <v>116776.66000000003</v>
      </c>
      <c r="P32" s="26">
        <v>8.1786772871208474E-2</v>
      </c>
      <c r="Q32" s="35">
        <v>3574.73</v>
      </c>
      <c r="R32" s="26">
        <v>2.5036306962872117E-3</v>
      </c>
      <c r="S32" s="37"/>
      <c r="T32" s="35">
        <v>1755548.43</v>
      </c>
      <c r="U32" s="35">
        <v>37948.71</v>
      </c>
      <c r="V32" s="26">
        <v>2.1616441535594662E-2</v>
      </c>
      <c r="W32" s="35">
        <v>4285</v>
      </c>
      <c r="X32" s="26">
        <v>2.4408326918101599E-3</v>
      </c>
      <c r="Y32" s="37"/>
      <c r="Z32" s="35">
        <v>1777852.1500000022</v>
      </c>
      <c r="AA32" s="35">
        <v>114452.07000000002</v>
      </c>
      <c r="AB32" s="26">
        <v>6.5194481703931134E-2</v>
      </c>
      <c r="AC32" s="35">
        <v>398.67</v>
      </c>
      <c r="AD32" s="26">
        <v>2.2709142806160012E-4</v>
      </c>
      <c r="AE32" s="37"/>
      <c r="AF32" s="91">
        <v>2621671.1399999904</v>
      </c>
      <c r="AG32" s="91">
        <v>160627.90000000008</v>
      </c>
      <c r="AH32" s="84">
        <f t="shared" si="3"/>
        <v>6.1269278800544245E-2</v>
      </c>
      <c r="AI32" s="91">
        <v>1464.99</v>
      </c>
      <c r="AJ32" s="84">
        <f t="shared" si="2"/>
        <v>5.5880006368762389E-4</v>
      </c>
      <c r="AK32" s="159" t="str">
        <f t="shared" si="1"/>
        <v>OK</v>
      </c>
      <c r="AL32" t="s">
        <v>13</v>
      </c>
      <c r="AM32" s="223">
        <v>2621671.1399999904</v>
      </c>
      <c r="AN32" s="223">
        <v>160627.90000000008</v>
      </c>
      <c r="AO32" s="223">
        <v>1464.99</v>
      </c>
    </row>
    <row r="33" spans="1:41" x14ac:dyDescent="0.25">
      <c r="A33" s="16" t="s">
        <v>14</v>
      </c>
      <c r="B33" s="35">
        <v>4025308</v>
      </c>
      <c r="C33" s="35">
        <v>646733.79</v>
      </c>
      <c r="D33" s="26">
        <v>0.16066690797325323</v>
      </c>
      <c r="E33" s="35">
        <v>88685.93</v>
      </c>
      <c r="F33" s="26">
        <v>2.2032085495072674E-2</v>
      </c>
      <c r="G33" s="37"/>
      <c r="H33" s="35">
        <v>3815074</v>
      </c>
      <c r="I33" s="35">
        <v>663126.28999999969</v>
      </c>
      <c r="J33" s="26">
        <v>0.17381741219174246</v>
      </c>
      <c r="K33" s="35">
        <v>86393.23</v>
      </c>
      <c r="L33" s="26">
        <v>2.2645230472593716E-2</v>
      </c>
      <c r="M33" s="37"/>
      <c r="N33" s="35">
        <v>2789468.6099999957</v>
      </c>
      <c r="O33" s="35">
        <v>101081.85000000008</v>
      </c>
      <c r="P33" s="26">
        <v>3.6236955539714871E-2</v>
      </c>
      <c r="Q33" s="35">
        <v>3602.8900000000003</v>
      </c>
      <c r="R33" s="26">
        <v>1.2916044249732589E-3</v>
      </c>
      <c r="S33" s="37"/>
      <c r="T33" s="35">
        <v>1734773.8500000013</v>
      </c>
      <c r="U33" s="35">
        <v>110319.79999999996</v>
      </c>
      <c r="V33" s="26">
        <v>6.3593188241798715E-2</v>
      </c>
      <c r="W33" s="35">
        <v>5256.4100000000008</v>
      </c>
      <c r="X33" s="26">
        <v>3.030026075156711E-3</v>
      </c>
      <c r="Y33" s="37"/>
      <c r="Z33" s="35">
        <v>2284835.6100000008</v>
      </c>
      <c r="AA33" s="35">
        <v>146178.76000000004</v>
      </c>
      <c r="AB33" s="26">
        <v>8.4263871051549422E-2</v>
      </c>
      <c r="AC33" s="35">
        <v>18075.740000000002</v>
      </c>
      <c r="AD33" s="26">
        <v>1.0419652106238509E-2</v>
      </c>
      <c r="AE33" s="37"/>
      <c r="AF33" s="91">
        <v>2140776.7099999948</v>
      </c>
      <c r="AG33" s="91">
        <v>174570.21000000002</v>
      </c>
      <c r="AH33" s="84">
        <f t="shared" si="3"/>
        <v>8.1545267745369132E-2</v>
      </c>
      <c r="AI33" s="91">
        <v>0</v>
      </c>
      <c r="AJ33" s="84">
        <f t="shared" si="2"/>
        <v>0</v>
      </c>
      <c r="AK33" s="159" t="str">
        <f t="shared" si="1"/>
        <v>OK</v>
      </c>
      <c r="AL33" t="s">
        <v>14</v>
      </c>
      <c r="AM33" s="223">
        <v>2140776.7099999948</v>
      </c>
      <c r="AN33" s="223">
        <v>174570.21000000002</v>
      </c>
      <c r="AO33" s="223">
        <v>0</v>
      </c>
    </row>
    <row r="34" spans="1:41" x14ac:dyDescent="0.25">
      <c r="A34" s="16" t="s">
        <v>15</v>
      </c>
      <c r="B34" s="35">
        <v>123321</v>
      </c>
      <c r="C34" s="35">
        <v>4648.42</v>
      </c>
      <c r="D34" s="26">
        <v>3.7693661258017694E-2</v>
      </c>
      <c r="E34" s="35">
        <v>0</v>
      </c>
      <c r="F34" s="26">
        <v>0</v>
      </c>
      <c r="G34" s="37"/>
      <c r="H34" s="35">
        <v>84152</v>
      </c>
      <c r="I34" s="35"/>
      <c r="J34" s="26">
        <v>0</v>
      </c>
      <c r="K34" s="35">
        <v>0</v>
      </c>
      <c r="L34" s="26">
        <v>0</v>
      </c>
      <c r="M34" s="37"/>
      <c r="N34" s="35">
        <v>67073.19</v>
      </c>
      <c r="O34" s="35">
        <v>0</v>
      </c>
      <c r="P34" s="26">
        <v>0</v>
      </c>
      <c r="Q34" s="35">
        <v>0</v>
      </c>
      <c r="R34" s="26">
        <v>0</v>
      </c>
      <c r="S34" s="37"/>
      <c r="T34" s="35">
        <v>135402.54000000004</v>
      </c>
      <c r="U34" s="35">
        <v>4286.08</v>
      </c>
      <c r="V34" s="26">
        <v>3.1654354489952692E-2</v>
      </c>
      <c r="W34" s="35">
        <v>0</v>
      </c>
      <c r="X34" s="26">
        <v>0</v>
      </c>
      <c r="Y34" s="37"/>
      <c r="Z34" s="35">
        <v>140587.91000000003</v>
      </c>
      <c r="AA34" s="35">
        <v>26700.950000000004</v>
      </c>
      <c r="AB34" s="26">
        <v>0.1971968177258713</v>
      </c>
      <c r="AC34" s="35">
        <v>0</v>
      </c>
      <c r="AD34" s="26">
        <v>0</v>
      </c>
      <c r="AE34" s="37"/>
      <c r="AF34" s="91">
        <v>171407.76999999996</v>
      </c>
      <c r="AG34" s="91">
        <v>15531.829999999996</v>
      </c>
      <c r="AH34" s="84">
        <f t="shared" si="3"/>
        <v>9.061333683998106E-2</v>
      </c>
      <c r="AI34" s="91">
        <v>326.60000000000002</v>
      </c>
      <c r="AJ34" s="84">
        <f t="shared" si="2"/>
        <v>1.9053978708199757E-3</v>
      </c>
      <c r="AK34" s="159" t="str">
        <f t="shared" si="1"/>
        <v>OK</v>
      </c>
      <c r="AL34" t="s">
        <v>15</v>
      </c>
      <c r="AM34" s="223">
        <v>171407.76999999996</v>
      </c>
      <c r="AN34" s="223">
        <v>15531.829999999996</v>
      </c>
      <c r="AO34" s="223">
        <v>326.60000000000002</v>
      </c>
    </row>
    <row r="35" spans="1:41" x14ac:dyDescent="0.25">
      <c r="A35" s="16" t="s">
        <v>16</v>
      </c>
      <c r="B35" s="35">
        <v>2612289</v>
      </c>
      <c r="C35" s="35">
        <v>387549.95</v>
      </c>
      <c r="D35" s="26">
        <v>0.14835646056006821</v>
      </c>
      <c r="E35" s="35">
        <v>47635.51</v>
      </c>
      <c r="F35" s="26">
        <v>1.8235160811074121E-2</v>
      </c>
      <c r="G35" s="37"/>
      <c r="H35" s="35">
        <v>2989102</v>
      </c>
      <c r="I35" s="35">
        <v>380807.23999999993</v>
      </c>
      <c r="J35" s="26">
        <v>0.12739854310759549</v>
      </c>
      <c r="K35" s="35">
        <v>9819.2499999999982</v>
      </c>
      <c r="L35" s="26">
        <v>3.2850167040134456E-3</v>
      </c>
      <c r="M35" s="37"/>
      <c r="N35" s="35">
        <v>3852689.1399999978</v>
      </c>
      <c r="O35" s="35">
        <v>516134.44999999937</v>
      </c>
      <c r="P35" s="26">
        <v>0.13396732288657986</v>
      </c>
      <c r="Q35" s="35">
        <v>56014.119999999995</v>
      </c>
      <c r="R35" s="26">
        <v>1.4538966930511302E-2</v>
      </c>
      <c r="S35" s="37"/>
      <c r="T35" s="35">
        <v>4579211.5699999984</v>
      </c>
      <c r="U35" s="35">
        <v>809474.5399999998</v>
      </c>
      <c r="V35" s="26">
        <v>0.17677159651306526</v>
      </c>
      <c r="W35" s="35">
        <v>66522.86</v>
      </c>
      <c r="X35" s="26">
        <v>1.4527142715094079E-2</v>
      </c>
      <c r="Y35" s="37"/>
      <c r="Z35" s="35">
        <v>4963777.6899999734</v>
      </c>
      <c r="AA35" s="35">
        <v>914652.3</v>
      </c>
      <c r="AB35" s="26">
        <v>0.1997401268795275</v>
      </c>
      <c r="AC35" s="35">
        <v>44720.78</v>
      </c>
      <c r="AD35" s="26">
        <v>9.7660436335768631E-3</v>
      </c>
      <c r="AE35" s="37"/>
      <c r="AF35" s="91">
        <v>5145029.4100000169</v>
      </c>
      <c r="AG35" s="91">
        <v>1070050.1400000001</v>
      </c>
      <c r="AH35" s="84">
        <f t="shared" si="3"/>
        <v>0.20797745838346851</v>
      </c>
      <c r="AI35" s="91">
        <v>88678.010000000009</v>
      </c>
      <c r="AJ35" s="84">
        <f t="shared" si="2"/>
        <v>1.7235666297192209E-2</v>
      </c>
      <c r="AK35" s="159" t="str">
        <f t="shared" si="1"/>
        <v>OK</v>
      </c>
      <c r="AL35" t="s">
        <v>16</v>
      </c>
      <c r="AM35" s="223">
        <v>5145029.4100000169</v>
      </c>
      <c r="AN35" s="223">
        <v>1070050.1400000001</v>
      </c>
      <c r="AO35" s="223">
        <v>88678.010000000009</v>
      </c>
    </row>
    <row r="36" spans="1:41" x14ac:dyDescent="0.25">
      <c r="A36" s="16" t="s">
        <v>17</v>
      </c>
      <c r="B36" s="35">
        <v>25937120</v>
      </c>
      <c r="C36" s="35">
        <v>4044778.62</v>
      </c>
      <c r="D36" s="26">
        <v>0.15594555679273567</v>
      </c>
      <c r="E36" s="35">
        <v>512381.29</v>
      </c>
      <c r="F36" s="26">
        <v>1.9754748792464236E-2</v>
      </c>
      <c r="G36" s="37"/>
      <c r="H36" s="35">
        <v>27162908</v>
      </c>
      <c r="I36" s="35">
        <v>4402732.1699999692</v>
      </c>
      <c r="J36" s="26">
        <v>0.16208618642746089</v>
      </c>
      <c r="K36" s="35">
        <v>436813.40000000008</v>
      </c>
      <c r="L36" s="26">
        <v>1.608124579297622E-2</v>
      </c>
      <c r="M36" s="37"/>
      <c r="N36" s="35">
        <v>29128210.77000057</v>
      </c>
      <c r="O36" s="35">
        <v>4451623.3199999947</v>
      </c>
      <c r="P36" s="26">
        <v>0.15282858789887518</v>
      </c>
      <c r="Q36" s="35">
        <v>382787.03000000009</v>
      </c>
      <c r="R36" s="26">
        <v>1.3141453590216266E-2</v>
      </c>
      <c r="S36" s="37"/>
      <c r="T36" s="35">
        <v>30914716.870000072</v>
      </c>
      <c r="U36" s="35">
        <v>5084097.7699999958</v>
      </c>
      <c r="V36" s="26">
        <v>0.16445558247805436</v>
      </c>
      <c r="W36" s="35">
        <v>526875.91999999993</v>
      </c>
      <c r="X36" s="26">
        <v>1.7042883563047773E-2</v>
      </c>
      <c r="Y36" s="37"/>
      <c r="Z36" s="35">
        <v>31973698.249999803</v>
      </c>
      <c r="AA36" s="35">
        <v>4908231.4599999757</v>
      </c>
      <c r="AB36" s="26">
        <v>0.15876682554265825</v>
      </c>
      <c r="AC36" s="35">
        <v>433525.55000000034</v>
      </c>
      <c r="AD36" s="26">
        <v>1.4023274152017144E-2</v>
      </c>
      <c r="AE36" s="37"/>
      <c r="AF36" s="91">
        <v>33895870.509999737</v>
      </c>
      <c r="AG36" s="91">
        <v>4701571.8100000033</v>
      </c>
      <c r="AH36" s="84">
        <f t="shared" si="3"/>
        <v>0.13870633027739993</v>
      </c>
      <c r="AI36" s="91">
        <v>487303.71999999986</v>
      </c>
      <c r="AJ36" s="84">
        <f t="shared" si="2"/>
        <v>1.4376492259027209E-2</v>
      </c>
      <c r="AK36" s="159" t="str">
        <f t="shared" si="1"/>
        <v>OK</v>
      </c>
      <c r="AL36" t="s">
        <v>17</v>
      </c>
      <c r="AM36" s="223">
        <v>33895870.509999737</v>
      </c>
      <c r="AN36" s="223">
        <v>4701571.8100000033</v>
      </c>
      <c r="AO36" s="223">
        <v>487303.71999999986</v>
      </c>
    </row>
    <row r="37" spans="1:41" x14ac:dyDescent="0.25">
      <c r="A37" s="16" t="s">
        <v>18</v>
      </c>
      <c r="B37" s="35">
        <v>1587821</v>
      </c>
      <c r="C37" s="35">
        <v>267467.71000000002</v>
      </c>
      <c r="D37" s="26">
        <v>0.16844953555847922</v>
      </c>
      <c r="E37" s="35">
        <v>26682.51</v>
      </c>
      <c r="F37" s="26">
        <v>1.6804482369234316E-2</v>
      </c>
      <c r="G37" s="37"/>
      <c r="H37" s="35">
        <v>1685951</v>
      </c>
      <c r="I37" s="35">
        <v>85197.28</v>
      </c>
      <c r="J37" s="26">
        <v>5.0533663196617222E-2</v>
      </c>
      <c r="K37" s="35">
        <v>3247.07</v>
      </c>
      <c r="L37" s="26">
        <v>1.9259575159657667E-3</v>
      </c>
      <c r="M37" s="37"/>
      <c r="N37" s="35">
        <v>1745790.7099999974</v>
      </c>
      <c r="O37" s="35">
        <v>227496.61</v>
      </c>
      <c r="P37" s="26">
        <v>0.1303115022304136</v>
      </c>
      <c r="Q37" s="35">
        <v>47624.59</v>
      </c>
      <c r="R37" s="26">
        <v>2.727966744650627E-2</v>
      </c>
      <c r="S37" s="37"/>
      <c r="T37" s="35">
        <v>1967840.2399999986</v>
      </c>
      <c r="U37" s="35">
        <v>164872.46000000002</v>
      </c>
      <c r="V37" s="26">
        <v>8.3783457949818188E-2</v>
      </c>
      <c r="W37" s="35">
        <v>31173.090000000004</v>
      </c>
      <c r="X37" s="26">
        <v>1.5841270732424917E-2</v>
      </c>
      <c r="Y37" s="37"/>
      <c r="Z37" s="35">
        <v>1908678.9900000002</v>
      </c>
      <c r="AA37" s="35">
        <v>151783.35000000003</v>
      </c>
      <c r="AB37" s="26">
        <v>7.7131947459312108E-2</v>
      </c>
      <c r="AC37" s="35">
        <v>9832.7999999999993</v>
      </c>
      <c r="AD37" s="26">
        <v>4.9967470936563459E-3</v>
      </c>
      <c r="AE37" s="37"/>
      <c r="AF37" s="91">
        <v>1980457.3399999929</v>
      </c>
      <c r="AG37" s="91">
        <v>596685.30999999982</v>
      </c>
      <c r="AH37" s="84">
        <f t="shared" si="3"/>
        <v>0.30128662604769968</v>
      </c>
      <c r="AI37" s="91">
        <v>57940.789999999986</v>
      </c>
      <c r="AJ37" s="84">
        <f t="shared" si="2"/>
        <v>2.9256267645734895E-2</v>
      </c>
      <c r="AK37" s="159" t="str">
        <f t="shared" si="1"/>
        <v>OK</v>
      </c>
      <c r="AL37" t="s">
        <v>18</v>
      </c>
      <c r="AM37" s="223">
        <v>1980457.3399999929</v>
      </c>
      <c r="AN37" s="223">
        <v>596685.30999999982</v>
      </c>
      <c r="AO37" s="223">
        <v>57940.789999999986</v>
      </c>
    </row>
    <row r="38" spans="1:41" x14ac:dyDescent="0.25">
      <c r="A38" s="16" t="s">
        <v>360</v>
      </c>
      <c r="B38" s="35"/>
      <c r="C38" s="35"/>
      <c r="D38" s="26"/>
      <c r="E38" s="35"/>
      <c r="F38" s="26"/>
      <c r="G38" s="37"/>
      <c r="H38" s="35">
        <v>0</v>
      </c>
      <c r="I38" s="35"/>
      <c r="J38" s="26"/>
      <c r="K38" s="35"/>
      <c r="L38" s="26"/>
      <c r="M38" s="37"/>
      <c r="N38" s="35">
        <v>0</v>
      </c>
      <c r="O38" s="35"/>
      <c r="P38" s="26"/>
      <c r="Q38" s="35"/>
      <c r="R38" s="26"/>
      <c r="S38" s="37"/>
      <c r="T38" s="35">
        <v>0</v>
      </c>
      <c r="U38" s="35"/>
      <c r="V38" s="26"/>
      <c r="W38" s="35"/>
      <c r="X38" s="26"/>
      <c r="Y38" s="37"/>
      <c r="Z38" s="35">
        <v>0</v>
      </c>
      <c r="AA38" s="35"/>
      <c r="AB38" s="26"/>
      <c r="AC38" s="35">
        <v>0</v>
      </c>
      <c r="AD38" s="26"/>
      <c r="AE38" s="37"/>
      <c r="AF38" s="91">
        <v>0</v>
      </c>
      <c r="AG38" s="91">
        <v>0</v>
      </c>
      <c r="AH38" s="84"/>
      <c r="AI38" s="91">
        <v>0</v>
      </c>
      <c r="AJ38" s="84" t="str">
        <f t="shared" si="2"/>
        <v/>
      </c>
      <c r="AK38" s="159" t="str">
        <f t="shared" si="1"/>
        <v>No</v>
      </c>
      <c r="AL38" t="s">
        <v>30</v>
      </c>
      <c r="AM38" s="223">
        <v>0</v>
      </c>
      <c r="AN38" s="223">
        <v>0</v>
      </c>
      <c r="AO38" s="223">
        <v>0</v>
      </c>
    </row>
    <row r="39" spans="1:41" x14ac:dyDescent="0.25">
      <c r="A39" s="16" t="s">
        <v>19</v>
      </c>
      <c r="B39" s="35">
        <v>2750</v>
      </c>
      <c r="C39" s="35"/>
      <c r="D39" s="26">
        <v>0</v>
      </c>
      <c r="E39" s="35">
        <v>0</v>
      </c>
      <c r="F39" s="26">
        <v>0</v>
      </c>
      <c r="G39" s="37"/>
      <c r="H39" s="35">
        <v>9950</v>
      </c>
      <c r="I39" s="35">
        <v>0</v>
      </c>
      <c r="J39" s="26">
        <v>0</v>
      </c>
      <c r="K39" s="35">
        <v>0</v>
      </c>
      <c r="L39" s="26">
        <v>0</v>
      </c>
      <c r="M39" s="37"/>
      <c r="N39" s="35">
        <v>500</v>
      </c>
      <c r="O39" s="35">
        <v>0</v>
      </c>
      <c r="P39" s="26">
        <v>0</v>
      </c>
      <c r="Q39" s="35">
        <v>0</v>
      </c>
      <c r="R39" s="26">
        <v>0</v>
      </c>
      <c r="S39" s="37"/>
      <c r="T39" s="35">
        <v>9486.02</v>
      </c>
      <c r="U39" s="35">
        <v>43.29</v>
      </c>
      <c r="V39" s="26">
        <v>4.5635577407595598E-3</v>
      </c>
      <c r="W39" s="35">
        <v>0</v>
      </c>
      <c r="X39" s="26">
        <v>0</v>
      </c>
      <c r="Y39" s="37"/>
      <c r="Z39" s="35">
        <v>122246.97</v>
      </c>
      <c r="AA39" s="35">
        <v>44023.92</v>
      </c>
      <c r="AB39" s="26">
        <v>4.6409263315911202</v>
      </c>
      <c r="AC39" s="35">
        <v>8190.59</v>
      </c>
      <c r="AD39" s="26">
        <v>0.86343798558299478</v>
      </c>
      <c r="AE39" s="37"/>
      <c r="AF39" s="91">
        <v>130771.81999999999</v>
      </c>
      <c r="AG39" s="91">
        <v>5444.76</v>
      </c>
      <c r="AH39" s="84">
        <f>AG39/AF39</f>
        <v>4.1635575615602813E-2</v>
      </c>
      <c r="AI39" s="91">
        <v>5444.76</v>
      </c>
      <c r="AJ39" s="84">
        <f t="shared" si="2"/>
        <v>4.1635575615602813E-2</v>
      </c>
      <c r="AK39" s="159" t="str">
        <f t="shared" si="1"/>
        <v>OK</v>
      </c>
      <c r="AL39" t="s">
        <v>19</v>
      </c>
      <c r="AM39" s="223">
        <v>130771.81999999999</v>
      </c>
      <c r="AN39" s="223">
        <v>5444.76</v>
      </c>
      <c r="AO39" s="223">
        <v>5444.76</v>
      </c>
    </row>
    <row r="40" spans="1:41" x14ac:dyDescent="0.25">
      <c r="A40" s="16" t="s">
        <v>385</v>
      </c>
      <c r="B40" s="35">
        <v>11091688</v>
      </c>
      <c r="C40" s="35">
        <v>1029507.03</v>
      </c>
      <c r="D40" s="26">
        <v>9.2817885789791416E-2</v>
      </c>
      <c r="E40" s="35">
        <v>99213.19</v>
      </c>
      <c r="F40" s="26">
        <v>8.9448233668310909E-3</v>
      </c>
      <c r="G40" s="37"/>
      <c r="H40" s="35">
        <v>12340607</v>
      </c>
      <c r="I40" s="35">
        <v>879162.66999999969</v>
      </c>
      <c r="J40" s="26">
        <v>7.1241444606411963E-2</v>
      </c>
      <c r="K40" s="35">
        <v>34562.510000000009</v>
      </c>
      <c r="L40" s="26">
        <v>2.8007139357083496E-3</v>
      </c>
      <c r="M40" s="37"/>
      <c r="N40" s="35">
        <v>11292870.259999955</v>
      </c>
      <c r="O40" s="35">
        <v>605619.28000000014</v>
      </c>
      <c r="P40" s="26">
        <v>5.362846345141687E-2</v>
      </c>
      <c r="Q40" s="35">
        <v>77153.860000000015</v>
      </c>
      <c r="R40" s="26">
        <v>6.8320859288788392E-3</v>
      </c>
      <c r="S40" s="37"/>
      <c r="T40" s="35">
        <v>10448105.669999979</v>
      </c>
      <c r="U40" s="35">
        <v>641031.39000000013</v>
      </c>
      <c r="V40" s="26">
        <v>6.1353838700216878E-2</v>
      </c>
      <c r="W40" s="35">
        <v>63360.570000000007</v>
      </c>
      <c r="X40" s="26">
        <v>6.0643117519312119E-3</v>
      </c>
      <c r="Y40" s="37"/>
      <c r="Z40" s="35">
        <v>4961190.4899999984</v>
      </c>
      <c r="AA40" s="35">
        <v>577417.90000000049</v>
      </c>
      <c r="AB40" s="26">
        <v>5.5265319689286947E-2</v>
      </c>
      <c r="AC40" s="35">
        <v>86866.89</v>
      </c>
      <c r="AD40" s="26">
        <v>8.3141282011938312E-3</v>
      </c>
      <c r="AE40" s="37"/>
      <c r="AF40" s="91">
        <v>3428209.9799999986</v>
      </c>
      <c r="AG40" s="91">
        <v>380937.99999999994</v>
      </c>
      <c r="AH40" s="84">
        <f>AG40/AF40</f>
        <v>0.11111863107055073</v>
      </c>
      <c r="AI40" s="91">
        <v>10884.36</v>
      </c>
      <c r="AJ40" s="84">
        <f t="shared" si="2"/>
        <v>3.1749397100815876E-3</v>
      </c>
      <c r="AK40" s="159" t="str">
        <f t="shared" si="1"/>
        <v>OK</v>
      </c>
      <c r="AL40" t="s">
        <v>385</v>
      </c>
      <c r="AM40" s="223">
        <v>3428209.9799999986</v>
      </c>
      <c r="AN40" s="223">
        <v>380937.99999999994</v>
      </c>
      <c r="AO40" s="223">
        <v>10884.36</v>
      </c>
    </row>
    <row r="41" spans="1:41" x14ac:dyDescent="0.25">
      <c r="A41" s="16" t="s">
        <v>31</v>
      </c>
      <c r="B41" s="35"/>
      <c r="C41" s="35"/>
      <c r="D41" s="26"/>
      <c r="E41" s="35"/>
      <c r="F41" s="26"/>
      <c r="G41" s="37"/>
      <c r="H41" s="35">
        <v>0</v>
      </c>
      <c r="I41" s="35"/>
      <c r="J41" s="26"/>
      <c r="K41" s="35"/>
      <c r="L41" s="26"/>
      <c r="M41" s="37"/>
      <c r="N41" s="35">
        <v>0</v>
      </c>
      <c r="O41" s="35"/>
      <c r="P41" s="26"/>
      <c r="Q41" s="35"/>
      <c r="R41" s="26"/>
      <c r="S41" s="37"/>
      <c r="T41" s="35">
        <v>0</v>
      </c>
      <c r="U41" s="35"/>
      <c r="V41" s="26"/>
      <c r="W41" s="35"/>
      <c r="X41" s="26"/>
      <c r="Y41" s="37"/>
      <c r="Z41" s="35">
        <v>0</v>
      </c>
      <c r="AA41" s="35"/>
      <c r="AB41" s="26"/>
      <c r="AC41" s="35">
        <v>0</v>
      </c>
      <c r="AD41" s="26"/>
      <c r="AE41" s="37"/>
      <c r="AF41" s="91">
        <v>0</v>
      </c>
      <c r="AG41" s="91">
        <v>0</v>
      </c>
      <c r="AH41" s="84"/>
      <c r="AI41" s="91">
        <v>0</v>
      </c>
      <c r="AJ41" s="84" t="str">
        <f t="shared" si="2"/>
        <v/>
      </c>
      <c r="AK41" s="159" t="str">
        <f t="shared" si="1"/>
        <v>OK</v>
      </c>
      <c r="AL41" t="s">
        <v>31</v>
      </c>
      <c r="AM41" s="223">
        <v>0</v>
      </c>
      <c r="AN41" s="223">
        <v>0</v>
      </c>
      <c r="AO41" s="223">
        <v>0</v>
      </c>
    </row>
    <row r="42" spans="1:41" x14ac:dyDescent="0.25">
      <c r="A42" s="16" t="s">
        <v>20</v>
      </c>
      <c r="B42" s="35">
        <v>509411</v>
      </c>
      <c r="C42" s="35">
        <v>121163.95</v>
      </c>
      <c r="D42" s="26">
        <v>0.23785106721291843</v>
      </c>
      <c r="E42" s="35">
        <v>23155.920000000002</v>
      </c>
      <c r="F42" s="26">
        <v>4.5456262232264323E-2</v>
      </c>
      <c r="G42" s="37"/>
      <c r="H42" s="35">
        <v>445570</v>
      </c>
      <c r="I42" s="35">
        <v>96070.149999999951</v>
      </c>
      <c r="J42" s="26">
        <v>0.21561180061494253</v>
      </c>
      <c r="K42" s="35">
        <v>0</v>
      </c>
      <c r="L42" s="26">
        <v>0</v>
      </c>
      <c r="M42" s="37"/>
      <c r="N42" s="35">
        <v>363646.53000000014</v>
      </c>
      <c r="O42" s="35">
        <v>13947.730000000001</v>
      </c>
      <c r="P42" s="26">
        <v>3.8355185184910184E-2</v>
      </c>
      <c r="Q42" s="35">
        <v>0</v>
      </c>
      <c r="R42" s="26">
        <v>0</v>
      </c>
      <c r="S42" s="37"/>
      <c r="T42" s="35">
        <v>298823.52000000008</v>
      </c>
      <c r="U42" s="35">
        <v>37006.04</v>
      </c>
      <c r="V42" s="26">
        <v>0.12383911413666499</v>
      </c>
      <c r="W42" s="35">
        <v>0</v>
      </c>
      <c r="X42" s="26">
        <v>0</v>
      </c>
      <c r="Y42" s="37"/>
      <c r="Z42" s="35">
        <v>412728.96999999991</v>
      </c>
      <c r="AA42" s="35">
        <v>28145.040000000005</v>
      </c>
      <c r="AB42" s="26">
        <v>9.4186160446808193E-2</v>
      </c>
      <c r="AC42" s="35">
        <v>0</v>
      </c>
      <c r="AD42" s="26">
        <v>0</v>
      </c>
      <c r="AE42" s="37"/>
      <c r="AF42" s="91">
        <v>469002.81000000006</v>
      </c>
      <c r="AG42" s="91">
        <v>69210.040000000008</v>
      </c>
      <c r="AH42" s="84">
        <f>AG42/AF42</f>
        <v>0.14756849751070789</v>
      </c>
      <c r="AI42" s="91">
        <v>0</v>
      </c>
      <c r="AJ42" s="84">
        <f t="shared" si="2"/>
        <v>0</v>
      </c>
      <c r="AK42" s="159" t="str">
        <f t="shared" si="1"/>
        <v>OK</v>
      </c>
      <c r="AL42" t="s">
        <v>20</v>
      </c>
      <c r="AM42" s="223">
        <v>469002.81000000006</v>
      </c>
      <c r="AN42" s="223">
        <v>69210.040000000008</v>
      </c>
      <c r="AO42" s="223">
        <v>0</v>
      </c>
    </row>
    <row r="43" spans="1:41" x14ac:dyDescent="0.25">
      <c r="A43" s="16" t="s">
        <v>42</v>
      </c>
      <c r="B43" s="35">
        <v>2893862.16</v>
      </c>
      <c r="C43" s="35">
        <v>540097.01</v>
      </c>
      <c r="D43" s="26">
        <v>0.18663536137464129</v>
      </c>
      <c r="E43" s="35">
        <v>93034.6</v>
      </c>
      <c r="F43" s="26">
        <v>3.2148939671680837E-2</v>
      </c>
      <c r="G43" s="37"/>
      <c r="H43" s="35">
        <v>2691207</v>
      </c>
      <c r="I43" s="35">
        <v>344500.39000000025</v>
      </c>
      <c r="J43" s="26">
        <v>0.12800962170505659</v>
      </c>
      <c r="K43" s="35">
        <v>63538.92</v>
      </c>
      <c r="L43" s="26">
        <v>2.360982265578233E-2</v>
      </c>
      <c r="M43" s="37"/>
      <c r="N43" s="35">
        <v>2855943.9400000069</v>
      </c>
      <c r="O43" s="35">
        <v>367136.92000000027</v>
      </c>
      <c r="P43" s="26">
        <v>0.12855186506216904</v>
      </c>
      <c r="Q43" s="35">
        <v>43155.790000000008</v>
      </c>
      <c r="R43" s="26">
        <v>1.5110867337262896E-2</v>
      </c>
      <c r="S43" s="37"/>
      <c r="T43" s="35">
        <v>3169472.7000000039</v>
      </c>
      <c r="U43" s="35">
        <v>314403.7</v>
      </c>
      <c r="V43" s="26">
        <v>9.9197478495397548E-2</v>
      </c>
      <c r="W43" s="35">
        <v>32877.5</v>
      </c>
      <c r="X43" s="26">
        <v>1.0373176585493214E-2</v>
      </c>
      <c r="Y43" s="37"/>
      <c r="Z43" s="35">
        <v>3542478.1899999753</v>
      </c>
      <c r="AA43" s="35">
        <v>718961.35000000044</v>
      </c>
      <c r="AB43" s="26">
        <v>0.22683942032376539</v>
      </c>
      <c r="AC43" s="35">
        <v>283857.43000000011</v>
      </c>
      <c r="AD43" s="26">
        <v>8.9559828043320827E-2</v>
      </c>
      <c r="AE43" s="37"/>
      <c r="AF43" s="91">
        <v>3548470.5100000007</v>
      </c>
      <c r="AG43" s="91">
        <v>440712.87000000005</v>
      </c>
      <c r="AH43" s="84">
        <f>AG43/AF43</f>
        <v>0.12419798016019019</v>
      </c>
      <c r="AI43" s="91">
        <v>48821.9</v>
      </c>
      <c r="AJ43" s="84">
        <f t="shared" si="2"/>
        <v>1.3758575663067858E-2</v>
      </c>
      <c r="AK43" s="159" t="str">
        <f t="shared" si="1"/>
        <v>OK</v>
      </c>
      <c r="AL43" t="s">
        <v>42</v>
      </c>
      <c r="AM43" s="223">
        <v>3548470.5100000007</v>
      </c>
      <c r="AN43" s="223">
        <v>440712.87000000005</v>
      </c>
      <c r="AO43" s="223">
        <v>48821.9</v>
      </c>
    </row>
    <row r="44" spans="1:41" x14ac:dyDescent="0.25">
      <c r="A44" s="16" t="s">
        <v>43</v>
      </c>
      <c r="B44" s="35">
        <v>1729819</v>
      </c>
      <c r="C44" s="35">
        <v>132449.53</v>
      </c>
      <c r="D44" s="26">
        <v>7.656843288228421E-2</v>
      </c>
      <c r="E44" s="35">
        <v>10835.22</v>
      </c>
      <c r="F44" s="26">
        <v>6.2637882923011019E-3</v>
      </c>
      <c r="G44" s="37"/>
      <c r="H44" s="35">
        <v>1726937</v>
      </c>
      <c r="I44" s="35">
        <v>133408.38</v>
      </c>
      <c r="J44" s="26">
        <v>7.7251445767853727E-2</v>
      </c>
      <c r="K44" s="35">
        <v>21485.930000000004</v>
      </c>
      <c r="L44" s="26">
        <v>1.2441640893674758E-2</v>
      </c>
      <c r="M44" s="37"/>
      <c r="N44" s="35">
        <v>1632715.7500000005</v>
      </c>
      <c r="O44" s="35">
        <v>272407.06999999989</v>
      </c>
      <c r="P44" s="26">
        <v>0.16684292412809751</v>
      </c>
      <c r="Q44" s="35">
        <v>32056.890000000003</v>
      </c>
      <c r="R44" s="26">
        <v>1.9634091237253022E-2</v>
      </c>
      <c r="S44" s="37"/>
      <c r="T44" s="35">
        <v>2922426.4799999986</v>
      </c>
      <c r="U44" s="35">
        <v>603389.0900000002</v>
      </c>
      <c r="V44" s="26">
        <v>0.2064685267976358</v>
      </c>
      <c r="W44" s="35">
        <v>37472.729999999996</v>
      </c>
      <c r="X44" s="26">
        <v>1.2822471414233837E-2</v>
      </c>
      <c r="Y44" s="37"/>
      <c r="Z44" s="35">
        <v>2729376.870000001</v>
      </c>
      <c r="AA44" s="35">
        <v>252808.31</v>
      </c>
      <c r="AB44" s="26">
        <v>8.6506302803552523E-2</v>
      </c>
      <c r="AC44" s="35">
        <v>12459.540000000005</v>
      </c>
      <c r="AD44" s="26">
        <v>4.2634229073916724E-3</v>
      </c>
      <c r="AE44" s="37"/>
      <c r="AF44" s="91">
        <v>2020647.6899999985</v>
      </c>
      <c r="AG44" s="91">
        <v>280803.59000000003</v>
      </c>
      <c r="AH44" s="84">
        <f>AG44/AF44</f>
        <v>0.138967119993095</v>
      </c>
      <c r="AI44" s="91">
        <v>28491.260000000002</v>
      </c>
      <c r="AJ44" s="84">
        <f t="shared" si="2"/>
        <v>1.4100063133717299E-2</v>
      </c>
      <c r="AK44" s="159" t="str">
        <f t="shared" si="1"/>
        <v>OK</v>
      </c>
      <c r="AL44" t="s">
        <v>43</v>
      </c>
      <c r="AM44" s="223">
        <v>2020647.6899999985</v>
      </c>
      <c r="AN44" s="223">
        <v>280803.59000000003</v>
      </c>
      <c r="AO44" s="223">
        <v>28491.260000000002</v>
      </c>
    </row>
    <row r="45" spans="1:41" x14ac:dyDescent="0.25">
      <c r="A45" s="16" t="s">
        <v>34</v>
      </c>
      <c r="B45" s="35"/>
      <c r="C45" s="35"/>
      <c r="D45" s="26"/>
      <c r="E45" s="35"/>
      <c r="F45" s="26"/>
      <c r="G45" s="37"/>
      <c r="H45" s="35">
        <v>0</v>
      </c>
      <c r="I45" s="35"/>
      <c r="J45" s="26"/>
      <c r="K45" s="35"/>
      <c r="L45" s="26"/>
      <c r="M45" s="37"/>
      <c r="N45" s="35">
        <v>0</v>
      </c>
      <c r="O45" s="35"/>
      <c r="P45" s="26"/>
      <c r="Q45" s="35"/>
      <c r="R45" s="26"/>
      <c r="S45" s="37"/>
      <c r="T45" s="35">
        <v>0</v>
      </c>
      <c r="U45" s="35"/>
      <c r="V45" s="26"/>
      <c r="W45" s="35"/>
      <c r="X45" s="26"/>
      <c r="Y45" s="37"/>
      <c r="Z45" s="35">
        <v>0</v>
      </c>
      <c r="AA45" s="35"/>
      <c r="AB45" s="26"/>
      <c r="AC45" s="35">
        <v>0</v>
      </c>
      <c r="AD45" s="26"/>
      <c r="AE45" s="37"/>
      <c r="AF45" s="91">
        <v>0</v>
      </c>
      <c r="AG45" s="91">
        <v>0</v>
      </c>
      <c r="AH45" s="84"/>
      <c r="AI45" s="91">
        <v>0</v>
      </c>
      <c r="AJ45" s="84" t="str">
        <f t="shared" si="2"/>
        <v/>
      </c>
      <c r="AK45" s="159" t="str">
        <f t="shared" si="1"/>
        <v>OK</v>
      </c>
      <c r="AL45" t="s">
        <v>34</v>
      </c>
      <c r="AM45" s="223">
        <v>0</v>
      </c>
      <c r="AN45" s="223">
        <v>0</v>
      </c>
      <c r="AO45" s="223">
        <v>0</v>
      </c>
    </row>
    <row r="46" spans="1:41" x14ac:dyDescent="0.25">
      <c r="A46" s="16" t="s">
        <v>35</v>
      </c>
      <c r="B46" s="35"/>
      <c r="C46" s="35"/>
      <c r="D46" s="26"/>
      <c r="E46" s="35"/>
      <c r="F46" s="26"/>
      <c r="G46" s="37"/>
      <c r="H46" s="35">
        <v>0</v>
      </c>
      <c r="I46" s="35"/>
      <c r="J46" s="26"/>
      <c r="K46" s="35"/>
      <c r="L46" s="26"/>
      <c r="M46" s="37"/>
      <c r="N46" s="35">
        <v>0</v>
      </c>
      <c r="O46" s="35"/>
      <c r="P46" s="26"/>
      <c r="Q46" s="35"/>
      <c r="R46" s="26"/>
      <c r="S46" s="37"/>
      <c r="T46" s="35">
        <v>0</v>
      </c>
      <c r="U46" s="35"/>
      <c r="V46" s="26"/>
      <c r="W46" s="35"/>
      <c r="X46" s="26"/>
      <c r="Y46" s="37"/>
      <c r="Z46" s="35">
        <v>0</v>
      </c>
      <c r="AA46" s="35"/>
      <c r="AB46" s="26"/>
      <c r="AC46" s="35">
        <v>0</v>
      </c>
      <c r="AD46" s="26"/>
      <c r="AE46" s="37"/>
      <c r="AF46" s="91">
        <v>0</v>
      </c>
      <c r="AG46" s="91">
        <v>0</v>
      </c>
      <c r="AH46" s="84"/>
      <c r="AI46" s="91">
        <v>0</v>
      </c>
      <c r="AJ46" s="84" t="str">
        <f t="shared" si="2"/>
        <v/>
      </c>
      <c r="AK46" s="159" t="str">
        <f t="shared" si="1"/>
        <v>OK</v>
      </c>
      <c r="AL46" t="s">
        <v>35</v>
      </c>
      <c r="AM46" s="223">
        <v>0</v>
      </c>
      <c r="AN46" s="223">
        <v>0</v>
      </c>
      <c r="AO46" s="223">
        <v>0</v>
      </c>
    </row>
    <row r="47" spans="1:41" x14ac:dyDescent="0.25">
      <c r="A47" s="16" t="s">
        <v>386</v>
      </c>
      <c r="B47" s="35">
        <v>264209</v>
      </c>
      <c r="C47" s="35">
        <v>11079.2</v>
      </c>
      <c r="D47" s="26">
        <v>4.1933469336775053E-2</v>
      </c>
      <c r="E47" s="35">
        <v>0</v>
      </c>
      <c r="F47" s="26">
        <v>0</v>
      </c>
      <c r="G47" s="37"/>
      <c r="H47" s="35">
        <v>269994</v>
      </c>
      <c r="I47" s="35">
        <v>16109.92</v>
      </c>
      <c r="J47" s="26">
        <v>5.9667696319177461E-2</v>
      </c>
      <c r="K47" s="35">
        <v>0</v>
      </c>
      <c r="L47" s="26">
        <v>0</v>
      </c>
      <c r="M47" s="37"/>
      <c r="N47" s="35">
        <v>308006.76</v>
      </c>
      <c r="O47" s="35">
        <v>41006.01999999999</v>
      </c>
      <c r="P47" s="26">
        <v>0.13313350655031075</v>
      </c>
      <c r="Q47" s="35">
        <v>779.95</v>
      </c>
      <c r="R47" s="26">
        <v>2.5322496168590585E-3</v>
      </c>
      <c r="S47" s="37"/>
      <c r="T47" s="35">
        <v>82082.85000000002</v>
      </c>
      <c r="U47" s="35">
        <v>3300.4900000000002</v>
      </c>
      <c r="V47" s="26">
        <v>4.020925199356503E-2</v>
      </c>
      <c r="W47" s="35">
        <v>0</v>
      </c>
      <c r="X47" s="26">
        <v>0</v>
      </c>
      <c r="Y47" s="37"/>
      <c r="Z47" s="35">
        <v>58661.789999999928</v>
      </c>
      <c r="AA47" s="35">
        <v>1893.58</v>
      </c>
      <c r="AB47" s="26">
        <v>2.3069130762394332E-2</v>
      </c>
      <c r="AC47" s="35">
        <v>0</v>
      </c>
      <c r="AD47" s="26">
        <v>0</v>
      </c>
      <c r="AE47" s="37"/>
      <c r="AF47" s="91">
        <v>43222.240000000013</v>
      </c>
      <c r="AG47" s="91">
        <v>3415.42</v>
      </c>
      <c r="AH47" s="84">
        <f>AG47/AF47</f>
        <v>7.9019967498213856E-2</v>
      </c>
      <c r="AI47" s="91">
        <v>0</v>
      </c>
      <c r="AJ47" s="84">
        <f t="shared" si="2"/>
        <v>0</v>
      </c>
      <c r="AK47" s="159" t="str">
        <f t="shared" si="1"/>
        <v>OK</v>
      </c>
      <c r="AL47" t="s">
        <v>386</v>
      </c>
      <c r="AM47" s="223">
        <v>43222.240000000013</v>
      </c>
      <c r="AN47" s="223">
        <v>3415.42</v>
      </c>
      <c r="AO47" s="223">
        <v>0</v>
      </c>
    </row>
    <row r="48" spans="1:41" x14ac:dyDescent="0.25">
      <c r="A48" s="16" t="s">
        <v>36</v>
      </c>
      <c r="B48" s="35"/>
      <c r="C48" s="35"/>
      <c r="D48" s="26"/>
      <c r="E48" s="35"/>
      <c r="F48" s="26"/>
      <c r="G48" s="37"/>
      <c r="H48" s="35">
        <v>0</v>
      </c>
      <c r="I48" s="35"/>
      <c r="J48" s="26"/>
      <c r="K48" s="35"/>
      <c r="L48" s="26"/>
      <c r="M48" s="37"/>
      <c r="N48" s="35">
        <v>0</v>
      </c>
      <c r="O48" s="35">
        <v>0</v>
      </c>
      <c r="P48" s="26"/>
      <c r="Q48" s="35"/>
      <c r="R48" s="26"/>
      <c r="S48" s="37"/>
      <c r="T48" s="35">
        <v>0</v>
      </c>
      <c r="U48" s="35"/>
      <c r="V48" s="26"/>
      <c r="W48" s="35"/>
      <c r="X48" s="26"/>
      <c r="Y48" s="37"/>
      <c r="Z48" s="35">
        <v>0</v>
      </c>
      <c r="AA48" s="35">
        <v>0</v>
      </c>
      <c r="AB48" s="26"/>
      <c r="AC48" s="35">
        <v>0</v>
      </c>
      <c r="AD48" s="26"/>
      <c r="AE48" s="37"/>
      <c r="AF48" s="91">
        <v>0</v>
      </c>
      <c r="AG48" s="91">
        <v>0</v>
      </c>
      <c r="AH48" s="84"/>
      <c r="AI48" s="91">
        <v>0</v>
      </c>
      <c r="AJ48" s="84" t="str">
        <f t="shared" si="2"/>
        <v/>
      </c>
      <c r="AK48" s="159" t="str">
        <f t="shared" si="1"/>
        <v>OK</v>
      </c>
      <c r="AL48" t="s">
        <v>36</v>
      </c>
      <c r="AM48" s="223">
        <v>0</v>
      </c>
      <c r="AN48" s="223">
        <v>0</v>
      </c>
      <c r="AO48" s="223">
        <v>0</v>
      </c>
    </row>
    <row r="49" spans="1:41" x14ac:dyDescent="0.25">
      <c r="A49" s="16" t="s">
        <v>38</v>
      </c>
      <c r="B49" s="35"/>
      <c r="C49" s="35"/>
      <c r="D49" s="26"/>
      <c r="E49" s="35"/>
      <c r="F49" s="26"/>
      <c r="G49" s="37"/>
      <c r="H49" s="35">
        <v>0</v>
      </c>
      <c r="I49" s="35"/>
      <c r="J49" s="26"/>
      <c r="K49" s="35"/>
      <c r="L49" s="26"/>
      <c r="M49" s="37"/>
      <c r="N49" s="35">
        <v>0</v>
      </c>
      <c r="O49" s="35">
        <v>0</v>
      </c>
      <c r="P49" s="26"/>
      <c r="Q49" s="35"/>
      <c r="R49" s="26"/>
      <c r="S49" s="37"/>
      <c r="T49" s="35">
        <v>0</v>
      </c>
      <c r="U49" s="35"/>
      <c r="V49" s="26"/>
      <c r="W49" s="35"/>
      <c r="X49" s="26"/>
      <c r="Y49" s="37"/>
      <c r="Z49" s="35">
        <v>0</v>
      </c>
      <c r="AA49" s="35">
        <v>0</v>
      </c>
      <c r="AB49" s="26"/>
      <c r="AC49" s="35">
        <v>0</v>
      </c>
      <c r="AD49" s="26"/>
      <c r="AE49" s="37"/>
      <c r="AF49" s="91">
        <v>0</v>
      </c>
      <c r="AG49" s="91">
        <v>0</v>
      </c>
      <c r="AH49" s="84"/>
      <c r="AI49" s="91">
        <v>0</v>
      </c>
      <c r="AJ49" s="84" t="str">
        <f t="shared" si="2"/>
        <v/>
      </c>
      <c r="AK49" s="159" t="str">
        <f t="shared" si="1"/>
        <v>OK</v>
      </c>
      <c r="AL49" t="s">
        <v>38</v>
      </c>
      <c r="AM49" s="223">
        <v>0</v>
      </c>
      <c r="AN49" s="223">
        <v>0</v>
      </c>
      <c r="AO49" s="223">
        <v>0</v>
      </c>
    </row>
    <row r="50" spans="1:41" x14ac:dyDescent="0.25">
      <c r="A50" s="16" t="s">
        <v>39</v>
      </c>
      <c r="B50" s="35">
        <v>67031</v>
      </c>
      <c r="C50" s="35"/>
      <c r="D50" s="26">
        <v>0</v>
      </c>
      <c r="E50" s="35">
        <v>0</v>
      </c>
      <c r="F50" s="26">
        <v>0</v>
      </c>
      <c r="G50" s="37"/>
      <c r="H50" s="35">
        <v>21870</v>
      </c>
      <c r="I50" s="35"/>
      <c r="J50" s="26">
        <v>0</v>
      </c>
      <c r="K50" s="35">
        <v>0</v>
      </c>
      <c r="L50" s="26">
        <v>0</v>
      </c>
      <c r="M50" s="37"/>
      <c r="N50" s="35">
        <v>160293.47999999998</v>
      </c>
      <c r="O50" s="35">
        <v>28077.470000000005</v>
      </c>
      <c r="P50" s="26">
        <v>0.17516289495991982</v>
      </c>
      <c r="Q50" s="35">
        <v>0</v>
      </c>
      <c r="R50" s="26">
        <v>0</v>
      </c>
      <c r="S50" s="37"/>
      <c r="T50" s="35">
        <v>146896.83000000007</v>
      </c>
      <c r="U50" s="35">
        <v>1463.2299999999998</v>
      </c>
      <c r="V50" s="26">
        <v>9.9609365293995729E-3</v>
      </c>
      <c r="W50" s="35">
        <v>1463.2299999999998</v>
      </c>
      <c r="X50" s="26">
        <v>9.9609365293995729E-3</v>
      </c>
      <c r="Y50" s="37"/>
      <c r="Z50" s="35">
        <v>47258.599999999991</v>
      </c>
      <c r="AA50" s="35">
        <v>1179.74</v>
      </c>
      <c r="AB50" s="26">
        <v>8.0310786829096269E-3</v>
      </c>
      <c r="AC50" s="35">
        <v>0</v>
      </c>
      <c r="AD50" s="26">
        <v>0</v>
      </c>
      <c r="AE50" s="37"/>
      <c r="AF50" s="91">
        <v>92066.200000000012</v>
      </c>
      <c r="AG50" s="91">
        <v>947.68999999999994</v>
      </c>
      <c r="AH50" s="84">
        <f>AG50/AF50</f>
        <v>1.0293571364952608E-2</v>
      </c>
      <c r="AI50" s="91">
        <v>118.78</v>
      </c>
      <c r="AJ50" s="84">
        <f t="shared" si="2"/>
        <v>1.2901586032659108E-3</v>
      </c>
      <c r="AK50" s="159" t="str">
        <f t="shared" si="1"/>
        <v>OK</v>
      </c>
      <c r="AL50" t="s">
        <v>39</v>
      </c>
      <c r="AM50" s="223">
        <v>92066.200000000012</v>
      </c>
      <c r="AN50" s="223">
        <v>947.68999999999994</v>
      </c>
      <c r="AO50" s="223">
        <v>118.78</v>
      </c>
    </row>
    <row r="51" spans="1:41" x14ac:dyDescent="0.25">
      <c r="A51" s="16" t="s">
        <v>40</v>
      </c>
      <c r="B51" s="35">
        <v>30510</v>
      </c>
      <c r="C51" s="35">
        <v>436.8</v>
      </c>
      <c r="D51" s="26">
        <v>1.4316617502458211E-2</v>
      </c>
      <c r="E51" s="35">
        <v>0</v>
      </c>
      <c r="F51" s="26">
        <v>0</v>
      </c>
      <c r="G51" s="37"/>
      <c r="H51" s="35">
        <v>54935</v>
      </c>
      <c r="I51" s="35">
        <v>1460</v>
      </c>
      <c r="J51" s="26">
        <v>2.6576863566032585E-2</v>
      </c>
      <c r="K51" s="35">
        <v>0</v>
      </c>
      <c r="L51" s="26">
        <v>0</v>
      </c>
      <c r="M51" s="37"/>
      <c r="N51" s="35">
        <v>27970.400000000001</v>
      </c>
      <c r="O51" s="35">
        <v>1126.9000000000001</v>
      </c>
      <c r="P51" s="26">
        <v>4.0289019820953578E-2</v>
      </c>
      <c r="Q51" s="35">
        <v>300</v>
      </c>
      <c r="R51" s="26">
        <v>1.0725624231330264E-2</v>
      </c>
      <c r="S51" s="37"/>
      <c r="T51" s="35">
        <v>34646.640000000007</v>
      </c>
      <c r="U51" s="35">
        <v>6045.93</v>
      </c>
      <c r="V51" s="26">
        <v>0.17450263575342367</v>
      </c>
      <c r="W51" s="35">
        <v>1608.4699999999996</v>
      </c>
      <c r="X51" s="26">
        <v>4.6424992437939128E-2</v>
      </c>
      <c r="Y51" s="37"/>
      <c r="Z51" s="35">
        <v>44032.240000000013</v>
      </c>
      <c r="AA51" s="35">
        <v>2892.61</v>
      </c>
      <c r="AB51" s="26">
        <v>8.348890397452681E-2</v>
      </c>
      <c r="AC51" s="35">
        <v>0</v>
      </c>
      <c r="AD51" s="26">
        <v>0</v>
      </c>
      <c r="AE51" s="37"/>
      <c r="AF51" s="91">
        <v>143007.31000000011</v>
      </c>
      <c r="AG51" s="91">
        <v>18705.289999999997</v>
      </c>
      <c r="AH51" s="84">
        <f>AG51/AF51</f>
        <v>0.13079953745021833</v>
      </c>
      <c r="AI51" s="91">
        <v>365.35</v>
      </c>
      <c r="AJ51" s="84">
        <f t="shared" si="2"/>
        <v>2.5547645081919219E-3</v>
      </c>
      <c r="AK51" s="159" t="str">
        <f t="shared" si="1"/>
        <v>OK</v>
      </c>
      <c r="AL51" t="s">
        <v>40</v>
      </c>
      <c r="AM51" s="223">
        <v>143007.31000000011</v>
      </c>
      <c r="AN51" s="223">
        <v>18705.289999999997</v>
      </c>
      <c r="AO51" s="223">
        <v>365.35</v>
      </c>
    </row>
    <row r="52" spans="1:41" x14ac:dyDescent="0.25">
      <c r="A52" s="16"/>
      <c r="B52" s="16"/>
      <c r="C52" s="16"/>
      <c r="D52" s="34"/>
      <c r="E52" s="16"/>
      <c r="F52" s="34"/>
      <c r="G52" s="96"/>
      <c r="H52" s="16"/>
      <c r="I52" s="16"/>
      <c r="J52" s="34"/>
      <c r="K52" s="16"/>
      <c r="L52" s="34"/>
      <c r="M52" s="96"/>
      <c r="N52" s="16"/>
      <c r="O52" s="16"/>
      <c r="P52" s="34"/>
      <c r="Q52" s="16"/>
      <c r="R52" s="34"/>
      <c r="S52" s="96"/>
      <c r="T52" s="16"/>
      <c r="U52" s="16"/>
      <c r="V52" s="34"/>
      <c r="W52" s="16"/>
      <c r="X52" s="34"/>
      <c r="Y52" s="96"/>
      <c r="Z52" s="16"/>
      <c r="AA52" s="16"/>
      <c r="AB52" s="34"/>
      <c r="AC52" s="16"/>
      <c r="AD52" s="34"/>
      <c r="AE52" s="96"/>
      <c r="AF52" s="92"/>
      <c r="AG52" s="92"/>
      <c r="AH52" s="222"/>
      <c r="AI52" s="92"/>
      <c r="AJ52" s="222"/>
    </row>
    <row r="53" spans="1:41" ht="15.75" thickBot="1" x14ac:dyDescent="0.3">
      <c r="A53" s="25" t="s">
        <v>123</v>
      </c>
      <c r="B53" s="36">
        <v>362956715.16000003</v>
      </c>
      <c r="C53" s="36">
        <v>41033980.670000002</v>
      </c>
      <c r="D53" s="27">
        <v>0.11305474993598408</v>
      </c>
      <c r="E53" s="36">
        <v>3982891.1799999997</v>
      </c>
      <c r="F53" s="27">
        <v>1.0973460508215823E-2</v>
      </c>
      <c r="G53" s="97"/>
      <c r="H53" s="36">
        <v>378286027</v>
      </c>
      <c r="I53" s="36">
        <v>42083266.559999868</v>
      </c>
      <c r="J53" s="27">
        <v>0.11124721389722352</v>
      </c>
      <c r="K53" s="36">
        <v>4216379.419999999</v>
      </c>
      <c r="L53" s="27">
        <v>1.1146008890251712E-2</v>
      </c>
      <c r="M53" s="97"/>
      <c r="N53" s="36">
        <v>405907915.29000252</v>
      </c>
      <c r="O53" s="36">
        <v>48900089.819999948</v>
      </c>
      <c r="P53" s="27">
        <v>0.12047089494439418</v>
      </c>
      <c r="Q53" s="36">
        <v>4579205.7</v>
      </c>
      <c r="R53" s="27">
        <v>1.1281390501410568E-2</v>
      </c>
      <c r="S53" s="97"/>
      <c r="T53" s="36">
        <v>425895805.77000207</v>
      </c>
      <c r="U53" s="36">
        <v>51833300.570000038</v>
      </c>
      <c r="V53" s="27">
        <v>0.12170418179227561</v>
      </c>
      <c r="W53" s="36">
        <v>4670540.7900000038</v>
      </c>
      <c r="X53" s="27">
        <v>1.0966393016141256E-2</v>
      </c>
      <c r="Y53" s="97"/>
      <c r="Z53" s="36">
        <v>439950756.84000009</v>
      </c>
      <c r="AA53" s="36">
        <v>55523517.199999765</v>
      </c>
      <c r="AB53" s="27">
        <v>0.13036878139622796</v>
      </c>
      <c r="AC53" s="36">
        <v>5645968.1400000015</v>
      </c>
      <c r="AD53" s="27">
        <v>1.3256688756989104E-2</v>
      </c>
      <c r="AE53" s="97"/>
      <c r="AF53" s="90">
        <f>SUM(AF6:AF52)</f>
        <v>453915049.67000097</v>
      </c>
      <c r="AG53" s="90">
        <f>SUM(AG6:AG52)</f>
        <v>54654876.269999996</v>
      </c>
      <c r="AH53" s="85">
        <f>AG53/AF53</f>
        <v>0.12040772014440682</v>
      </c>
      <c r="AI53" s="90">
        <f>SUM(AI6:AI52)</f>
        <v>5028263.4099999983</v>
      </c>
      <c r="AJ53" s="85">
        <f>AI53/AF53</f>
        <v>1.1077542843436402E-2</v>
      </c>
      <c r="AL53" t="s">
        <v>48</v>
      </c>
      <c r="AM53" s="223">
        <f>SUM(AM6:AM52)</f>
        <v>453915049.67000097</v>
      </c>
      <c r="AN53" s="223">
        <f t="shared" ref="AN53:AO53" si="4">SUM(AN6:AN52)</f>
        <v>54654876.269999996</v>
      </c>
      <c r="AO53" s="223">
        <f t="shared" si="4"/>
        <v>5028263.4099999983</v>
      </c>
    </row>
    <row r="54" spans="1:41" ht="15.75" thickTop="1" x14ac:dyDescent="0.25"/>
  </sheetData>
  <sortState ref="A6:AB51">
    <sortCondition ref="A6"/>
  </sortState>
  <mergeCells count="15">
    <mergeCell ref="AM4:AM5"/>
    <mergeCell ref="AN4:AN5"/>
    <mergeCell ref="AO4:AO5"/>
    <mergeCell ref="C3:D3"/>
    <mergeCell ref="E3:F3"/>
    <mergeCell ref="I3:J3"/>
    <mergeCell ref="K3:L3"/>
    <mergeCell ref="O3:P3"/>
    <mergeCell ref="Q3:R3"/>
    <mergeCell ref="U3:V3"/>
    <mergeCell ref="W3:X3"/>
    <mergeCell ref="AA3:AB3"/>
    <mergeCell ref="AC3:AD3"/>
    <mergeCell ref="AG3:AH3"/>
    <mergeCell ref="AI3:AJ3"/>
  </mergeCells>
  <pageMargins left="0.7" right="0.7" top="0.75" bottom="0.75" header="0.3" footer="0.3"/>
  <pageSetup orientation="portrait"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W54"/>
  <sheetViews>
    <sheetView workbookViewId="0">
      <pane xSplit="1" ySplit="5" topLeftCell="B6"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s>
  <sheetData>
    <row r="1" spans="1:23"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row>
    <row r="2" spans="1:23" x14ac:dyDescent="0.25">
      <c r="B2" s="56" t="s">
        <v>101</v>
      </c>
      <c r="C2" s="56"/>
      <c r="D2" s="56"/>
      <c r="E2" s="56"/>
      <c r="F2" s="56"/>
      <c r="G2" s="56"/>
      <c r="H2" s="56"/>
      <c r="I2" s="56"/>
      <c r="J2" s="56"/>
      <c r="K2" s="56"/>
      <c r="L2" s="56"/>
      <c r="M2" s="56"/>
      <c r="N2" s="56"/>
      <c r="O2" s="56"/>
      <c r="P2" s="56"/>
      <c r="Q2" s="56"/>
      <c r="R2" s="56"/>
      <c r="S2" s="56"/>
    </row>
    <row r="3" spans="1:23" x14ac:dyDescent="0.25">
      <c r="B3" s="57"/>
      <c r="C3" s="57"/>
      <c r="D3" s="58"/>
      <c r="E3" s="57"/>
      <c r="F3" s="57"/>
      <c r="G3" s="58"/>
      <c r="H3" s="57"/>
      <c r="I3" s="57"/>
      <c r="J3" s="58"/>
      <c r="K3" s="57"/>
      <c r="L3" s="57"/>
      <c r="M3" s="58"/>
      <c r="N3" s="57"/>
      <c r="O3" s="57"/>
      <c r="P3" s="58"/>
      <c r="Q3" s="57"/>
      <c r="R3" s="57"/>
      <c r="S3" s="58"/>
    </row>
    <row r="4" spans="1:23" ht="31.5" customHeight="1" x14ac:dyDescent="0.25">
      <c r="B4" s="43">
        <v>2015</v>
      </c>
      <c r="C4" s="43">
        <v>2015</v>
      </c>
      <c r="D4" s="43">
        <v>2015</v>
      </c>
      <c r="E4" s="43">
        <v>2016</v>
      </c>
      <c r="F4" s="43">
        <v>2016</v>
      </c>
      <c r="G4" s="43">
        <v>2016</v>
      </c>
      <c r="H4" s="43">
        <v>2017</v>
      </c>
      <c r="I4" s="43">
        <v>2017</v>
      </c>
      <c r="J4" s="43">
        <v>2017</v>
      </c>
      <c r="K4" s="43">
        <v>2018</v>
      </c>
      <c r="L4" s="43">
        <v>2018</v>
      </c>
      <c r="M4" s="43">
        <v>2018</v>
      </c>
      <c r="N4" s="43">
        <v>2019</v>
      </c>
      <c r="O4" s="43">
        <v>2019</v>
      </c>
      <c r="P4" s="43">
        <v>2019</v>
      </c>
      <c r="Q4" s="43">
        <v>2020</v>
      </c>
      <c r="R4" s="43">
        <v>2020</v>
      </c>
      <c r="S4" s="43">
        <v>2020</v>
      </c>
    </row>
    <row r="5" spans="1:23" ht="30" x14ac:dyDescent="0.25">
      <c r="A5" s="40" t="s">
        <v>44</v>
      </c>
      <c r="B5" s="106" t="s">
        <v>184</v>
      </c>
      <c r="C5" s="106" t="s">
        <v>185</v>
      </c>
      <c r="D5" s="106" t="s">
        <v>186</v>
      </c>
      <c r="E5" s="106" t="s">
        <v>184</v>
      </c>
      <c r="F5" s="106" t="s">
        <v>185</v>
      </c>
      <c r="G5" s="106" t="s">
        <v>186</v>
      </c>
      <c r="H5" s="106" t="s">
        <v>184</v>
      </c>
      <c r="I5" s="106" t="s">
        <v>185</v>
      </c>
      <c r="J5" s="106" t="s">
        <v>186</v>
      </c>
      <c r="K5" s="106" t="s">
        <v>184</v>
      </c>
      <c r="L5" s="106" t="s">
        <v>185</v>
      </c>
      <c r="M5" s="106" t="s">
        <v>186</v>
      </c>
      <c r="N5" s="106" t="s">
        <v>184</v>
      </c>
      <c r="O5" s="106" t="s">
        <v>185</v>
      </c>
      <c r="P5" s="106" t="s">
        <v>186</v>
      </c>
      <c r="Q5" s="106" t="s">
        <v>184</v>
      </c>
      <c r="R5" s="106" t="s">
        <v>185</v>
      </c>
      <c r="S5" s="106" t="s">
        <v>186</v>
      </c>
    </row>
    <row r="6" spans="1:23" x14ac:dyDescent="0.25">
      <c r="A6" s="16" t="s">
        <v>0</v>
      </c>
      <c r="B6" s="33">
        <v>28</v>
      </c>
      <c r="C6" s="33">
        <v>15</v>
      </c>
      <c r="D6" s="26">
        <v>0.5357142857142857</v>
      </c>
      <c r="E6" s="33">
        <v>34</v>
      </c>
      <c r="F6" s="33">
        <v>16</v>
      </c>
      <c r="G6" s="26">
        <v>0.47058823529411764</v>
      </c>
      <c r="H6" s="33">
        <v>34</v>
      </c>
      <c r="I6" s="33">
        <v>16</v>
      </c>
      <c r="J6" s="26">
        <v>0.47058823529411764</v>
      </c>
      <c r="K6" s="33">
        <v>30</v>
      </c>
      <c r="L6" s="33">
        <v>22</v>
      </c>
      <c r="M6" s="26">
        <v>0.73333333333333328</v>
      </c>
      <c r="N6" s="33">
        <v>27</v>
      </c>
      <c r="O6" s="33">
        <v>20</v>
      </c>
      <c r="P6" s="26">
        <v>0.7407407407407407</v>
      </c>
      <c r="Q6" s="99"/>
      <c r="R6" s="99"/>
      <c r="S6" s="84" t="e">
        <f t="shared" ref="S6:S51" si="0">R6/Q6</f>
        <v>#DIV/0!</v>
      </c>
      <c r="T6" t="str">
        <f>IF(A6=U6,"OK","No")</f>
        <v>No</v>
      </c>
      <c r="U6" t="s">
        <v>378</v>
      </c>
      <c r="V6">
        <v>27</v>
      </c>
      <c r="W6">
        <v>20</v>
      </c>
    </row>
    <row r="7" spans="1:23" x14ac:dyDescent="0.25">
      <c r="A7" s="16" t="s">
        <v>25</v>
      </c>
      <c r="B7" s="33">
        <v>19</v>
      </c>
      <c r="C7" s="33">
        <v>13</v>
      </c>
      <c r="D7" s="26">
        <v>0.68421052631578949</v>
      </c>
      <c r="E7" s="33">
        <v>20</v>
      </c>
      <c r="F7" s="33">
        <v>15</v>
      </c>
      <c r="G7" s="26">
        <v>0.75</v>
      </c>
      <c r="H7" s="33">
        <v>21</v>
      </c>
      <c r="I7" s="33">
        <v>19</v>
      </c>
      <c r="J7" s="26">
        <v>0.90476190476190477</v>
      </c>
      <c r="K7" s="33">
        <v>19</v>
      </c>
      <c r="L7" s="33">
        <v>19</v>
      </c>
      <c r="M7" s="26">
        <v>1</v>
      </c>
      <c r="N7" s="33">
        <v>2</v>
      </c>
      <c r="O7" s="33">
        <v>2</v>
      </c>
      <c r="P7" s="26">
        <v>1</v>
      </c>
      <c r="Q7" s="99"/>
      <c r="R7" s="99"/>
      <c r="S7" s="84" t="e">
        <f t="shared" si="0"/>
        <v>#DIV/0!</v>
      </c>
      <c r="T7" t="str">
        <f t="shared" ref="T7:T51" si="1">IF(A7=U7,"OK","No")</f>
        <v>OK</v>
      </c>
      <c r="U7" t="s">
        <v>25</v>
      </c>
      <c r="V7">
        <v>2</v>
      </c>
      <c r="W7">
        <v>2</v>
      </c>
    </row>
    <row r="8" spans="1:23" x14ac:dyDescent="0.25">
      <c r="A8" s="16" t="s">
        <v>384</v>
      </c>
      <c r="B8" s="33">
        <v>1</v>
      </c>
      <c r="C8" s="33">
        <v>1</v>
      </c>
      <c r="D8" s="26">
        <v>1</v>
      </c>
      <c r="E8" s="33">
        <v>1</v>
      </c>
      <c r="F8" s="33">
        <v>1</v>
      </c>
      <c r="G8" s="26">
        <v>1</v>
      </c>
      <c r="H8" s="33"/>
      <c r="I8" s="33"/>
      <c r="J8" s="26"/>
      <c r="K8" s="33"/>
      <c r="L8" s="33"/>
      <c r="M8" s="26"/>
      <c r="N8" s="33"/>
      <c r="O8" s="33"/>
      <c r="P8" s="26"/>
      <c r="Q8" s="99"/>
      <c r="R8" s="99"/>
      <c r="S8" s="84" t="e">
        <f t="shared" si="0"/>
        <v>#DIV/0!</v>
      </c>
      <c r="T8" t="str">
        <f t="shared" si="1"/>
        <v>No</v>
      </c>
      <c r="U8" t="s">
        <v>1</v>
      </c>
      <c r="V8">
        <v>905</v>
      </c>
      <c r="W8">
        <v>760</v>
      </c>
    </row>
    <row r="9" spans="1:23" x14ac:dyDescent="0.25">
      <c r="A9" s="16" t="s">
        <v>1</v>
      </c>
      <c r="B9" s="33">
        <v>989</v>
      </c>
      <c r="C9" s="33">
        <v>636</v>
      </c>
      <c r="D9" s="26">
        <v>0.64307381193124369</v>
      </c>
      <c r="E9" s="33">
        <v>1041</v>
      </c>
      <c r="F9" s="33">
        <v>668</v>
      </c>
      <c r="G9" s="26">
        <v>0.64169068203650337</v>
      </c>
      <c r="H9" s="33">
        <v>1027</v>
      </c>
      <c r="I9" s="33">
        <v>790</v>
      </c>
      <c r="J9" s="26">
        <v>0.76923076923076927</v>
      </c>
      <c r="K9" s="33">
        <v>1026</v>
      </c>
      <c r="L9" s="33">
        <v>887</v>
      </c>
      <c r="M9" s="26">
        <v>0.86452241715399614</v>
      </c>
      <c r="N9" s="33">
        <v>905</v>
      </c>
      <c r="O9" s="33">
        <v>760</v>
      </c>
      <c r="P9" s="26">
        <v>0.83977900552486184</v>
      </c>
      <c r="Q9" s="99"/>
      <c r="R9" s="99"/>
      <c r="S9" s="84" t="e">
        <f t="shared" si="0"/>
        <v>#DIV/0!</v>
      </c>
      <c r="T9" t="str">
        <f t="shared" si="1"/>
        <v>No</v>
      </c>
      <c r="U9" t="s">
        <v>2</v>
      </c>
      <c r="V9">
        <v>775</v>
      </c>
      <c r="W9">
        <v>725</v>
      </c>
    </row>
    <row r="10" spans="1:23" x14ac:dyDescent="0.25">
      <c r="A10" s="16" t="s">
        <v>2</v>
      </c>
      <c r="B10" s="33">
        <v>976</v>
      </c>
      <c r="C10" s="33">
        <v>780</v>
      </c>
      <c r="D10" s="26">
        <v>0.79918032786885251</v>
      </c>
      <c r="E10" s="33">
        <v>1004</v>
      </c>
      <c r="F10" s="33">
        <v>798</v>
      </c>
      <c r="G10" s="26">
        <v>0.79482071713147406</v>
      </c>
      <c r="H10" s="33">
        <v>1005</v>
      </c>
      <c r="I10" s="33">
        <v>909</v>
      </c>
      <c r="J10" s="26">
        <v>0.90447761194029852</v>
      </c>
      <c r="K10" s="33">
        <v>1030</v>
      </c>
      <c r="L10" s="33">
        <v>978</v>
      </c>
      <c r="M10" s="26">
        <v>0.94951456310679616</v>
      </c>
      <c r="N10" s="33">
        <v>775</v>
      </c>
      <c r="O10" s="33">
        <v>725</v>
      </c>
      <c r="P10" s="26">
        <v>0.93548387096774188</v>
      </c>
      <c r="Q10" s="99"/>
      <c r="R10" s="99"/>
      <c r="S10" s="84" t="e">
        <f t="shared" si="0"/>
        <v>#DIV/0!</v>
      </c>
      <c r="T10" t="str">
        <f t="shared" si="1"/>
        <v>No</v>
      </c>
      <c r="U10" t="s">
        <v>3</v>
      </c>
      <c r="V10">
        <v>147</v>
      </c>
      <c r="W10">
        <v>133</v>
      </c>
    </row>
    <row r="11" spans="1:23" x14ac:dyDescent="0.25">
      <c r="A11" s="16" t="s">
        <v>3</v>
      </c>
      <c r="B11" s="33">
        <v>144</v>
      </c>
      <c r="C11" s="33">
        <v>135</v>
      </c>
      <c r="D11" s="26">
        <v>0.9375</v>
      </c>
      <c r="E11" s="33">
        <v>153</v>
      </c>
      <c r="F11" s="33">
        <v>67</v>
      </c>
      <c r="G11" s="26">
        <v>0.43790849673202614</v>
      </c>
      <c r="H11" s="33">
        <v>158</v>
      </c>
      <c r="I11" s="33">
        <v>100</v>
      </c>
      <c r="J11" s="26">
        <v>0.63291139240506333</v>
      </c>
      <c r="K11" s="33">
        <v>155</v>
      </c>
      <c r="L11" s="33">
        <v>152</v>
      </c>
      <c r="M11" s="26">
        <v>0.98064516129032253</v>
      </c>
      <c r="N11" s="33">
        <v>147</v>
      </c>
      <c r="O11" s="33">
        <v>133</v>
      </c>
      <c r="P11" s="26">
        <v>0.90476190476190477</v>
      </c>
      <c r="Q11" s="99"/>
      <c r="R11" s="99"/>
      <c r="S11" s="84" t="e">
        <f t="shared" si="0"/>
        <v>#DIV/0!</v>
      </c>
      <c r="T11" t="str">
        <f t="shared" si="1"/>
        <v>No</v>
      </c>
      <c r="U11" t="s">
        <v>379</v>
      </c>
    </row>
    <row r="12" spans="1:23" x14ac:dyDescent="0.25">
      <c r="A12" s="16" t="s">
        <v>32</v>
      </c>
      <c r="B12" s="33">
        <v>1</v>
      </c>
      <c r="C12" s="33">
        <v>0</v>
      </c>
      <c r="D12" s="26">
        <v>0</v>
      </c>
      <c r="E12" s="33">
        <v>0</v>
      </c>
      <c r="F12" s="33">
        <v>0</v>
      </c>
      <c r="G12" s="26"/>
      <c r="H12" s="33"/>
      <c r="I12" s="33"/>
      <c r="J12" s="26"/>
      <c r="K12" s="33">
        <v>1</v>
      </c>
      <c r="L12" s="33">
        <v>1</v>
      </c>
      <c r="M12" s="26">
        <v>1</v>
      </c>
      <c r="N12" s="33"/>
      <c r="O12" s="33"/>
      <c r="P12" s="26"/>
      <c r="Q12" s="99"/>
      <c r="R12" s="99"/>
      <c r="S12" s="84" t="e">
        <f t="shared" si="0"/>
        <v>#DIV/0!</v>
      </c>
      <c r="T12" t="str">
        <f t="shared" si="1"/>
        <v>No</v>
      </c>
      <c r="U12" t="s">
        <v>319</v>
      </c>
      <c r="V12">
        <v>34</v>
      </c>
      <c r="W12">
        <v>26</v>
      </c>
    </row>
    <row r="13" spans="1:23" x14ac:dyDescent="0.25">
      <c r="A13" s="16" t="s">
        <v>22</v>
      </c>
      <c r="B13" s="33">
        <v>13</v>
      </c>
      <c r="C13" s="33">
        <v>10</v>
      </c>
      <c r="D13" s="26">
        <v>0.76923076923076927</v>
      </c>
      <c r="E13" s="33">
        <v>11</v>
      </c>
      <c r="F13" s="33">
        <v>5</v>
      </c>
      <c r="G13" s="26">
        <v>0.45454545454545453</v>
      </c>
      <c r="H13" s="33">
        <v>23</v>
      </c>
      <c r="I13" s="33">
        <v>15</v>
      </c>
      <c r="J13" s="26">
        <v>0.65217391304347827</v>
      </c>
      <c r="K13" s="33">
        <v>51</v>
      </c>
      <c r="L13" s="33">
        <v>35</v>
      </c>
      <c r="M13" s="26">
        <v>0.68627450980392157</v>
      </c>
      <c r="N13" s="33">
        <v>34</v>
      </c>
      <c r="O13" s="33">
        <v>26</v>
      </c>
      <c r="P13" s="26">
        <v>0.76470588235294112</v>
      </c>
      <c r="Q13" s="99"/>
      <c r="R13" s="99"/>
      <c r="S13" s="84" t="e">
        <f t="shared" si="0"/>
        <v>#DIV/0!</v>
      </c>
      <c r="T13" t="str">
        <f t="shared" si="1"/>
        <v>No</v>
      </c>
      <c r="U13" t="s">
        <v>4</v>
      </c>
      <c r="V13">
        <v>73</v>
      </c>
      <c r="W13">
        <v>55</v>
      </c>
    </row>
    <row r="14" spans="1:23" x14ac:dyDescent="0.25">
      <c r="A14" s="16" t="s">
        <v>4</v>
      </c>
      <c r="B14" s="33">
        <v>127</v>
      </c>
      <c r="C14" s="33">
        <v>91</v>
      </c>
      <c r="D14" s="26">
        <v>0.71653543307086609</v>
      </c>
      <c r="E14" s="33">
        <v>126</v>
      </c>
      <c r="F14" s="33">
        <v>100</v>
      </c>
      <c r="G14" s="26">
        <v>0.79365079365079361</v>
      </c>
      <c r="H14" s="33">
        <v>125</v>
      </c>
      <c r="I14" s="33">
        <v>97</v>
      </c>
      <c r="J14" s="26">
        <v>0.77600000000000002</v>
      </c>
      <c r="K14" s="33">
        <v>104</v>
      </c>
      <c r="L14" s="33">
        <v>96</v>
      </c>
      <c r="M14" s="26">
        <v>0.92307692307692313</v>
      </c>
      <c r="N14" s="33">
        <v>73</v>
      </c>
      <c r="O14" s="33">
        <v>55</v>
      </c>
      <c r="P14" s="26">
        <v>0.75342465753424659</v>
      </c>
      <c r="Q14" s="99"/>
      <c r="R14" s="99"/>
      <c r="S14" s="84" t="e">
        <f t="shared" si="0"/>
        <v>#DIV/0!</v>
      </c>
      <c r="T14" t="str">
        <f t="shared" si="1"/>
        <v>No</v>
      </c>
      <c r="U14" t="s">
        <v>27</v>
      </c>
      <c r="V14">
        <v>4</v>
      </c>
      <c r="W14">
        <v>3</v>
      </c>
    </row>
    <row r="15" spans="1:23" x14ac:dyDescent="0.25">
      <c r="A15" s="16" t="s">
        <v>27</v>
      </c>
      <c r="B15" s="33">
        <v>22</v>
      </c>
      <c r="C15" s="33">
        <v>19</v>
      </c>
      <c r="D15" s="26">
        <v>0.86363636363636365</v>
      </c>
      <c r="E15" s="33">
        <v>21</v>
      </c>
      <c r="F15" s="33">
        <v>17</v>
      </c>
      <c r="G15" s="26">
        <v>0.80952380952380953</v>
      </c>
      <c r="H15" s="33">
        <v>22</v>
      </c>
      <c r="I15" s="33">
        <v>19</v>
      </c>
      <c r="J15" s="26">
        <v>0.86363636363636365</v>
      </c>
      <c r="K15" s="33">
        <v>21</v>
      </c>
      <c r="L15" s="33">
        <v>17</v>
      </c>
      <c r="M15" s="26">
        <v>0.80952380952380953</v>
      </c>
      <c r="N15" s="33">
        <v>4</v>
      </c>
      <c r="O15" s="33">
        <v>3</v>
      </c>
      <c r="P15" s="26">
        <v>0.75</v>
      </c>
      <c r="Q15" s="99"/>
      <c r="R15" s="99"/>
      <c r="S15" s="84" t="e">
        <f t="shared" si="0"/>
        <v>#DIV/0!</v>
      </c>
      <c r="T15" t="str">
        <f t="shared" si="1"/>
        <v>No</v>
      </c>
      <c r="U15" t="s">
        <v>28</v>
      </c>
    </row>
    <row r="16" spans="1:23" x14ac:dyDescent="0.25">
      <c r="A16" s="16" t="s">
        <v>28</v>
      </c>
      <c r="B16" s="33">
        <v>18</v>
      </c>
      <c r="C16" s="33">
        <v>8</v>
      </c>
      <c r="D16" s="26">
        <v>0.44444444444444442</v>
      </c>
      <c r="E16" s="33">
        <v>15</v>
      </c>
      <c r="F16" s="33">
        <v>12</v>
      </c>
      <c r="G16" s="26">
        <v>0.8</v>
      </c>
      <c r="H16" s="33">
        <v>14</v>
      </c>
      <c r="I16" s="33">
        <v>10</v>
      </c>
      <c r="J16" s="26">
        <v>0.7142857142857143</v>
      </c>
      <c r="K16" s="33">
        <v>12</v>
      </c>
      <c r="L16" s="33">
        <v>10</v>
      </c>
      <c r="M16" s="26">
        <v>0.83333333333333337</v>
      </c>
      <c r="N16" s="33"/>
      <c r="O16" s="33"/>
      <c r="P16" s="26"/>
      <c r="Q16" s="99"/>
      <c r="R16" s="99"/>
      <c r="S16" s="84" t="e">
        <f t="shared" si="0"/>
        <v>#DIV/0!</v>
      </c>
      <c r="T16" t="str">
        <f t="shared" si="1"/>
        <v>No</v>
      </c>
      <c r="U16" t="s">
        <v>5</v>
      </c>
      <c r="V16">
        <v>38</v>
      </c>
      <c r="W16">
        <v>24</v>
      </c>
    </row>
    <row r="17" spans="1:23" x14ac:dyDescent="0.25">
      <c r="A17" s="16" t="s">
        <v>5</v>
      </c>
      <c r="B17" s="33">
        <v>25</v>
      </c>
      <c r="C17" s="33">
        <v>9</v>
      </c>
      <c r="D17" s="26">
        <v>0.36</v>
      </c>
      <c r="E17" s="33">
        <v>33</v>
      </c>
      <c r="F17" s="33">
        <v>15</v>
      </c>
      <c r="G17" s="26">
        <v>0.45454545454545453</v>
      </c>
      <c r="H17" s="33">
        <v>36</v>
      </c>
      <c r="I17" s="33">
        <v>21</v>
      </c>
      <c r="J17" s="26">
        <v>0.58333333333333337</v>
      </c>
      <c r="K17" s="33">
        <v>45</v>
      </c>
      <c r="L17" s="33">
        <v>43</v>
      </c>
      <c r="M17" s="26">
        <v>0.9555555555555556</v>
      </c>
      <c r="N17" s="33">
        <v>38</v>
      </c>
      <c r="O17" s="33">
        <v>24</v>
      </c>
      <c r="P17" s="26">
        <v>0.63157894736842102</v>
      </c>
      <c r="Q17" s="99"/>
      <c r="R17" s="99"/>
      <c r="S17" s="84" t="e">
        <f t="shared" si="0"/>
        <v>#DIV/0!</v>
      </c>
      <c r="T17" t="str">
        <f t="shared" si="1"/>
        <v>No</v>
      </c>
      <c r="U17" t="s">
        <v>21</v>
      </c>
      <c r="V17">
        <v>323</v>
      </c>
      <c r="W17">
        <v>243</v>
      </c>
    </row>
    <row r="18" spans="1:23" x14ac:dyDescent="0.25">
      <c r="A18" s="16" t="s">
        <v>21</v>
      </c>
      <c r="B18" s="33">
        <v>418</v>
      </c>
      <c r="C18" s="33">
        <v>245</v>
      </c>
      <c r="D18" s="26">
        <v>0.5861244019138756</v>
      </c>
      <c r="E18" s="33">
        <v>450</v>
      </c>
      <c r="F18" s="33">
        <v>261</v>
      </c>
      <c r="G18" s="26">
        <v>0.57999999999999996</v>
      </c>
      <c r="H18" s="33">
        <v>495</v>
      </c>
      <c r="I18" s="33">
        <v>315</v>
      </c>
      <c r="J18" s="26">
        <v>0.63636363636363635</v>
      </c>
      <c r="K18" s="33">
        <v>429</v>
      </c>
      <c r="L18" s="33">
        <v>342</v>
      </c>
      <c r="M18" s="26">
        <v>0.79720279720279719</v>
      </c>
      <c r="N18" s="33">
        <v>323</v>
      </c>
      <c r="O18" s="33">
        <v>243</v>
      </c>
      <c r="P18" s="26">
        <v>0.75232198142414863</v>
      </c>
      <c r="Q18" s="99"/>
      <c r="R18" s="99"/>
      <c r="S18" s="84" t="e">
        <f t="shared" si="0"/>
        <v>#DIV/0!</v>
      </c>
      <c r="T18" t="str">
        <f t="shared" si="1"/>
        <v>No</v>
      </c>
      <c r="U18" t="s">
        <v>7</v>
      </c>
      <c r="V18">
        <v>25</v>
      </c>
      <c r="W18">
        <v>20</v>
      </c>
    </row>
    <row r="19" spans="1:23" x14ac:dyDescent="0.25">
      <c r="A19" s="16" t="s">
        <v>7</v>
      </c>
      <c r="B19" s="33">
        <v>42</v>
      </c>
      <c r="C19" s="33">
        <v>31</v>
      </c>
      <c r="D19" s="26">
        <v>0.73809523809523814</v>
      </c>
      <c r="E19" s="33">
        <v>36</v>
      </c>
      <c r="F19" s="33">
        <v>20</v>
      </c>
      <c r="G19" s="26">
        <v>0.55555555555555558</v>
      </c>
      <c r="H19" s="33">
        <v>31</v>
      </c>
      <c r="I19" s="33">
        <v>27</v>
      </c>
      <c r="J19" s="26">
        <v>0.87096774193548387</v>
      </c>
      <c r="K19" s="33">
        <v>26</v>
      </c>
      <c r="L19" s="33">
        <v>21</v>
      </c>
      <c r="M19" s="26">
        <v>0.80769230769230771</v>
      </c>
      <c r="N19" s="33">
        <v>25</v>
      </c>
      <c r="O19" s="33">
        <v>20</v>
      </c>
      <c r="P19" s="26">
        <v>0.8</v>
      </c>
      <c r="Q19" s="99"/>
      <c r="R19" s="99"/>
      <c r="S19" s="84" t="e">
        <f t="shared" si="0"/>
        <v>#DIV/0!</v>
      </c>
      <c r="T19" t="str">
        <f t="shared" si="1"/>
        <v>No</v>
      </c>
      <c r="U19" t="s">
        <v>6</v>
      </c>
    </row>
    <row r="20" spans="1:23" x14ac:dyDescent="0.25">
      <c r="A20" s="16" t="s">
        <v>6</v>
      </c>
      <c r="B20" s="33">
        <v>1</v>
      </c>
      <c r="C20" s="33">
        <v>1</v>
      </c>
      <c r="D20" s="26">
        <v>1</v>
      </c>
      <c r="E20" s="33">
        <v>0</v>
      </c>
      <c r="F20" s="33">
        <v>0</v>
      </c>
      <c r="G20" s="26"/>
      <c r="H20" s="33"/>
      <c r="I20" s="33"/>
      <c r="J20" s="26"/>
      <c r="K20" s="33"/>
      <c r="L20" s="33"/>
      <c r="M20" s="26"/>
      <c r="N20" s="33"/>
      <c r="O20" s="33"/>
      <c r="P20" s="26"/>
      <c r="Q20" s="99"/>
      <c r="R20" s="99"/>
      <c r="S20" s="84" t="e">
        <f t="shared" si="0"/>
        <v>#DIV/0!</v>
      </c>
      <c r="T20" t="str">
        <f t="shared" si="1"/>
        <v>No</v>
      </c>
      <c r="U20" t="s">
        <v>29</v>
      </c>
    </row>
    <row r="21" spans="1:23" x14ac:dyDescent="0.25">
      <c r="A21" s="16" t="s">
        <v>29</v>
      </c>
      <c r="B21" s="33">
        <v>1</v>
      </c>
      <c r="C21" s="33">
        <v>1</v>
      </c>
      <c r="D21" s="26">
        <v>1</v>
      </c>
      <c r="E21" s="33">
        <v>1</v>
      </c>
      <c r="F21" s="33">
        <v>1</v>
      </c>
      <c r="G21" s="26">
        <v>1</v>
      </c>
      <c r="H21" s="33"/>
      <c r="I21" s="33"/>
      <c r="J21" s="26"/>
      <c r="K21" s="33"/>
      <c r="L21" s="33"/>
      <c r="M21" s="26"/>
      <c r="N21" s="33"/>
      <c r="O21" s="33"/>
      <c r="P21" s="26"/>
      <c r="Q21" s="99"/>
      <c r="R21" s="99"/>
      <c r="S21" s="84" t="e">
        <f t="shared" si="0"/>
        <v>#DIV/0!</v>
      </c>
      <c r="T21" t="str">
        <f t="shared" si="1"/>
        <v>No</v>
      </c>
      <c r="U21" t="s">
        <v>8</v>
      </c>
      <c r="V21">
        <v>11</v>
      </c>
      <c r="W21">
        <v>11</v>
      </c>
    </row>
    <row r="22" spans="1:23" x14ac:dyDescent="0.25">
      <c r="A22" s="16" t="s">
        <v>8</v>
      </c>
      <c r="B22" s="33">
        <v>88</v>
      </c>
      <c r="C22" s="33">
        <v>45</v>
      </c>
      <c r="D22" s="26">
        <v>0.51136363636363635</v>
      </c>
      <c r="E22" s="33">
        <v>68</v>
      </c>
      <c r="F22" s="33">
        <v>44</v>
      </c>
      <c r="G22" s="26">
        <v>0.6470588235294118</v>
      </c>
      <c r="H22" s="33">
        <v>79</v>
      </c>
      <c r="I22" s="33">
        <v>53</v>
      </c>
      <c r="J22" s="26">
        <v>0.67088607594936711</v>
      </c>
      <c r="K22" s="33">
        <v>70</v>
      </c>
      <c r="L22" s="33">
        <v>62</v>
      </c>
      <c r="M22" s="26">
        <v>0.88571428571428568</v>
      </c>
      <c r="N22" s="33">
        <v>11</v>
      </c>
      <c r="O22" s="33">
        <v>11</v>
      </c>
      <c r="P22" s="26">
        <v>1</v>
      </c>
      <c r="Q22" s="99"/>
      <c r="R22" s="99"/>
      <c r="S22" s="84" t="e">
        <f t="shared" si="0"/>
        <v>#DIV/0!</v>
      </c>
      <c r="T22" t="str">
        <f t="shared" si="1"/>
        <v>No</v>
      </c>
      <c r="U22" t="s">
        <v>9</v>
      </c>
      <c r="V22">
        <v>101</v>
      </c>
      <c r="W22">
        <v>99</v>
      </c>
    </row>
    <row r="23" spans="1:23" x14ac:dyDescent="0.25">
      <c r="A23" s="16" t="s">
        <v>9</v>
      </c>
      <c r="B23" s="33">
        <v>109</v>
      </c>
      <c r="C23" s="33">
        <v>106</v>
      </c>
      <c r="D23" s="26">
        <v>0.97247706422018354</v>
      </c>
      <c r="E23" s="33">
        <v>104</v>
      </c>
      <c r="F23" s="33">
        <v>98</v>
      </c>
      <c r="G23" s="26">
        <v>0.94230769230769229</v>
      </c>
      <c r="H23" s="33">
        <v>117</v>
      </c>
      <c r="I23" s="33">
        <v>102</v>
      </c>
      <c r="J23" s="26">
        <v>0.87179487179487181</v>
      </c>
      <c r="K23" s="33">
        <v>124</v>
      </c>
      <c r="L23" s="33">
        <v>123</v>
      </c>
      <c r="M23" s="26">
        <v>0.99193548387096775</v>
      </c>
      <c r="N23" s="33">
        <v>101</v>
      </c>
      <c r="O23" s="33">
        <v>99</v>
      </c>
      <c r="P23" s="26">
        <v>0.98019801980198018</v>
      </c>
      <c r="Q23" s="99"/>
      <c r="R23" s="99"/>
      <c r="S23" s="84" t="e">
        <f t="shared" si="0"/>
        <v>#DIV/0!</v>
      </c>
      <c r="T23" t="str">
        <f t="shared" si="1"/>
        <v>No</v>
      </c>
      <c r="U23" t="s">
        <v>23</v>
      </c>
      <c r="V23">
        <v>5815</v>
      </c>
      <c r="W23">
        <v>5361</v>
      </c>
    </row>
    <row r="24" spans="1:23" x14ac:dyDescent="0.25">
      <c r="A24" s="16" t="s">
        <v>23</v>
      </c>
      <c r="B24" s="33">
        <v>5336</v>
      </c>
      <c r="C24" s="33">
        <v>4320</v>
      </c>
      <c r="D24" s="26">
        <v>0.80959520239880056</v>
      </c>
      <c r="E24" s="33">
        <v>5460</v>
      </c>
      <c r="F24" s="33">
        <v>4182</v>
      </c>
      <c r="G24" s="26">
        <v>0.76593406593406599</v>
      </c>
      <c r="H24" s="33">
        <v>5674</v>
      </c>
      <c r="I24" s="33">
        <v>4834</v>
      </c>
      <c r="J24" s="26">
        <v>0.85195629185759603</v>
      </c>
      <c r="K24" s="33">
        <v>5886</v>
      </c>
      <c r="L24" s="33">
        <v>5418</v>
      </c>
      <c r="M24" s="26">
        <v>0.92048929663608559</v>
      </c>
      <c r="N24" s="33">
        <v>5815</v>
      </c>
      <c r="O24" s="33">
        <v>5361</v>
      </c>
      <c r="P24" s="26">
        <v>0.92192605331040411</v>
      </c>
      <c r="Q24" s="99"/>
      <c r="R24" s="99"/>
      <c r="S24" s="84" t="e">
        <f t="shared" si="0"/>
        <v>#DIV/0!</v>
      </c>
      <c r="T24" t="str">
        <f t="shared" si="1"/>
        <v>No</v>
      </c>
      <c r="U24" t="s">
        <v>24</v>
      </c>
    </row>
    <row r="25" spans="1:23" x14ac:dyDescent="0.25">
      <c r="A25" s="16" t="s">
        <v>24</v>
      </c>
      <c r="B25" s="33">
        <v>0</v>
      </c>
      <c r="C25" s="33">
        <v>0</v>
      </c>
      <c r="D25" s="26"/>
      <c r="E25" s="33">
        <v>0</v>
      </c>
      <c r="F25" s="33">
        <v>0</v>
      </c>
      <c r="G25" s="26"/>
      <c r="H25" s="33"/>
      <c r="I25" s="33"/>
      <c r="J25" s="26"/>
      <c r="K25" s="33">
        <v>0</v>
      </c>
      <c r="L25" s="33"/>
      <c r="M25" s="26"/>
      <c r="N25" s="33"/>
      <c r="O25" s="33"/>
      <c r="P25" s="26"/>
      <c r="Q25" s="99"/>
      <c r="R25" s="99"/>
      <c r="S25" s="84" t="e">
        <f t="shared" si="0"/>
        <v>#DIV/0!</v>
      </c>
      <c r="T25" t="str">
        <f t="shared" si="1"/>
        <v>No</v>
      </c>
      <c r="U25" t="s">
        <v>33</v>
      </c>
    </row>
    <row r="26" spans="1:23" x14ac:dyDescent="0.25">
      <c r="A26" s="16" t="s">
        <v>33</v>
      </c>
      <c r="B26" s="33">
        <v>0</v>
      </c>
      <c r="C26" s="33">
        <v>0</v>
      </c>
      <c r="D26" s="26"/>
      <c r="E26" s="33">
        <v>0</v>
      </c>
      <c r="F26" s="33">
        <v>0</v>
      </c>
      <c r="G26" s="26"/>
      <c r="H26" s="33"/>
      <c r="I26" s="33"/>
      <c r="J26" s="26"/>
      <c r="K26" s="33">
        <v>0</v>
      </c>
      <c r="L26" s="33"/>
      <c r="M26" s="26"/>
      <c r="N26" s="33"/>
      <c r="O26" s="33"/>
      <c r="P26" s="26"/>
      <c r="Q26" s="99"/>
      <c r="R26" s="99"/>
      <c r="S26" s="84" t="e">
        <f t="shared" si="0"/>
        <v>#DIV/0!</v>
      </c>
      <c r="T26" t="str">
        <f t="shared" si="1"/>
        <v>No</v>
      </c>
      <c r="U26" t="s">
        <v>357</v>
      </c>
      <c r="V26">
        <v>10</v>
      </c>
      <c r="W26">
        <v>9</v>
      </c>
    </row>
    <row r="27" spans="1:23" x14ac:dyDescent="0.25">
      <c r="A27" s="16" t="s">
        <v>10</v>
      </c>
      <c r="B27" s="33">
        <v>15</v>
      </c>
      <c r="C27" s="33">
        <v>12</v>
      </c>
      <c r="D27" s="26">
        <v>0.8</v>
      </c>
      <c r="E27" s="33">
        <v>16</v>
      </c>
      <c r="F27" s="33">
        <v>10</v>
      </c>
      <c r="G27" s="26">
        <v>0.625</v>
      </c>
      <c r="H27" s="33">
        <v>18</v>
      </c>
      <c r="I27" s="33">
        <v>13</v>
      </c>
      <c r="J27" s="26">
        <v>0.72222222222222221</v>
      </c>
      <c r="K27" s="33">
        <v>19</v>
      </c>
      <c r="L27" s="33">
        <v>19</v>
      </c>
      <c r="M27" s="26">
        <v>1</v>
      </c>
      <c r="N27" s="33">
        <v>10</v>
      </c>
      <c r="O27" s="33">
        <v>9</v>
      </c>
      <c r="P27" s="26">
        <v>0.9</v>
      </c>
      <c r="Q27" s="99"/>
      <c r="R27" s="99"/>
      <c r="S27" s="84" t="e">
        <f t="shared" si="0"/>
        <v>#DIV/0!</v>
      </c>
      <c r="T27" t="str">
        <f t="shared" si="1"/>
        <v>No</v>
      </c>
      <c r="U27" t="s">
        <v>358</v>
      </c>
      <c r="V27">
        <v>8</v>
      </c>
      <c r="W27">
        <v>8</v>
      </c>
    </row>
    <row r="28" spans="1:23" x14ac:dyDescent="0.25">
      <c r="A28" s="16" t="s">
        <v>358</v>
      </c>
      <c r="B28" s="33">
        <v>52</v>
      </c>
      <c r="C28" s="33">
        <v>45</v>
      </c>
      <c r="D28" s="26">
        <v>0.86538461538461542</v>
      </c>
      <c r="E28" s="33">
        <v>64</v>
      </c>
      <c r="F28" s="33">
        <v>55</v>
      </c>
      <c r="G28" s="26">
        <v>0.859375</v>
      </c>
      <c r="H28" s="33">
        <v>68</v>
      </c>
      <c r="I28" s="33">
        <v>49</v>
      </c>
      <c r="J28" s="26">
        <v>0.72058823529411764</v>
      </c>
      <c r="K28" s="33">
        <v>64</v>
      </c>
      <c r="L28" s="33">
        <v>52</v>
      </c>
      <c r="M28" s="26">
        <v>0.8125</v>
      </c>
      <c r="N28" s="33">
        <v>8</v>
      </c>
      <c r="O28" s="33">
        <v>8</v>
      </c>
      <c r="P28" s="26">
        <v>1</v>
      </c>
      <c r="Q28" s="99"/>
      <c r="R28" s="99"/>
      <c r="S28" s="84" t="e">
        <f t="shared" si="0"/>
        <v>#DIV/0!</v>
      </c>
      <c r="T28" t="str">
        <f t="shared" si="1"/>
        <v>No</v>
      </c>
      <c r="U28" t="s">
        <v>190</v>
      </c>
      <c r="V28">
        <v>127</v>
      </c>
      <c r="W28">
        <v>90</v>
      </c>
    </row>
    <row r="29" spans="1:23" x14ac:dyDescent="0.25">
      <c r="A29" s="16" t="s">
        <v>190</v>
      </c>
      <c r="B29" s="33">
        <v>121</v>
      </c>
      <c r="C29" s="33">
        <v>68</v>
      </c>
      <c r="D29" s="26">
        <v>0.56198347107438018</v>
      </c>
      <c r="E29" s="33">
        <v>124</v>
      </c>
      <c r="F29" s="33">
        <v>90</v>
      </c>
      <c r="G29" s="26">
        <v>0.72580645161290325</v>
      </c>
      <c r="H29" s="33">
        <v>116</v>
      </c>
      <c r="I29" s="33">
        <v>89</v>
      </c>
      <c r="J29" s="26">
        <v>0.76724137931034486</v>
      </c>
      <c r="K29" s="33">
        <v>127</v>
      </c>
      <c r="L29" s="33">
        <v>105</v>
      </c>
      <c r="M29" s="26">
        <v>0.82677165354330706</v>
      </c>
      <c r="N29" s="33">
        <v>127</v>
      </c>
      <c r="O29" s="33">
        <v>90</v>
      </c>
      <c r="P29" s="26">
        <v>0.70866141732283461</v>
      </c>
      <c r="Q29" s="99"/>
      <c r="R29" s="99"/>
      <c r="S29" s="84" t="e">
        <f t="shared" si="0"/>
        <v>#DIV/0!</v>
      </c>
      <c r="T29" t="str">
        <f t="shared" si="1"/>
        <v>No</v>
      </c>
      <c r="U29" t="s">
        <v>11</v>
      </c>
      <c r="V29">
        <v>162</v>
      </c>
      <c r="W29">
        <v>156</v>
      </c>
    </row>
    <row r="30" spans="1:23" x14ac:dyDescent="0.25">
      <c r="A30" s="16" t="s">
        <v>11</v>
      </c>
      <c r="B30" s="33">
        <v>234</v>
      </c>
      <c r="C30" s="33">
        <v>225</v>
      </c>
      <c r="D30" s="26">
        <v>0.96153846153846156</v>
      </c>
      <c r="E30" s="33">
        <v>230</v>
      </c>
      <c r="F30" s="33">
        <v>222</v>
      </c>
      <c r="G30" s="26">
        <v>0.9652173913043478</v>
      </c>
      <c r="H30" s="33">
        <v>242</v>
      </c>
      <c r="I30" s="33">
        <v>225</v>
      </c>
      <c r="J30" s="26">
        <v>0.92975206611570249</v>
      </c>
      <c r="K30" s="33">
        <v>225</v>
      </c>
      <c r="L30" s="33">
        <v>221</v>
      </c>
      <c r="M30" s="26">
        <v>0.98222222222222222</v>
      </c>
      <c r="N30" s="33">
        <v>162</v>
      </c>
      <c r="O30" s="33">
        <v>156</v>
      </c>
      <c r="P30" s="26">
        <v>0.96296296296296291</v>
      </c>
      <c r="Q30" s="99"/>
      <c r="R30" s="99"/>
      <c r="S30" s="84" t="e">
        <f t="shared" si="0"/>
        <v>#DIV/0!</v>
      </c>
      <c r="T30" t="str">
        <f t="shared" si="1"/>
        <v>No</v>
      </c>
      <c r="U30" t="s">
        <v>12</v>
      </c>
      <c r="V30">
        <v>71</v>
      </c>
      <c r="W30">
        <v>60</v>
      </c>
    </row>
    <row r="31" spans="1:23" x14ac:dyDescent="0.25">
      <c r="A31" s="16" t="s">
        <v>12</v>
      </c>
      <c r="B31" s="33">
        <v>83</v>
      </c>
      <c r="C31" s="33">
        <v>67</v>
      </c>
      <c r="D31" s="26">
        <v>0.80722891566265065</v>
      </c>
      <c r="E31" s="33">
        <v>82</v>
      </c>
      <c r="F31" s="33">
        <v>65</v>
      </c>
      <c r="G31" s="26">
        <v>0.79268292682926833</v>
      </c>
      <c r="H31" s="33">
        <v>87</v>
      </c>
      <c r="I31" s="33">
        <v>67</v>
      </c>
      <c r="J31" s="26">
        <v>0.77011494252873558</v>
      </c>
      <c r="K31" s="33">
        <v>87</v>
      </c>
      <c r="L31" s="33">
        <v>76</v>
      </c>
      <c r="M31" s="26">
        <v>0.87356321839080464</v>
      </c>
      <c r="N31" s="33">
        <v>71</v>
      </c>
      <c r="O31" s="33">
        <v>60</v>
      </c>
      <c r="P31" s="26">
        <v>0.84507042253521125</v>
      </c>
      <c r="Q31" s="99"/>
      <c r="R31" s="99"/>
      <c r="S31" s="84" t="e">
        <f t="shared" si="0"/>
        <v>#DIV/0!</v>
      </c>
      <c r="T31" t="str">
        <f t="shared" si="1"/>
        <v>No</v>
      </c>
      <c r="U31" t="s">
        <v>13</v>
      </c>
      <c r="V31">
        <v>49</v>
      </c>
      <c r="W31">
        <v>48</v>
      </c>
    </row>
    <row r="32" spans="1:23" x14ac:dyDescent="0.25">
      <c r="A32" s="16" t="s">
        <v>13</v>
      </c>
      <c r="B32" s="33">
        <v>52</v>
      </c>
      <c r="C32" s="33">
        <v>34</v>
      </c>
      <c r="D32" s="26">
        <v>0.65384615384615385</v>
      </c>
      <c r="E32" s="33">
        <v>56</v>
      </c>
      <c r="F32" s="33">
        <v>39</v>
      </c>
      <c r="G32" s="26">
        <v>0.6964285714285714</v>
      </c>
      <c r="H32" s="33">
        <v>67</v>
      </c>
      <c r="I32" s="33">
        <v>61</v>
      </c>
      <c r="J32" s="26">
        <v>0.91044776119402981</v>
      </c>
      <c r="K32" s="33">
        <v>67</v>
      </c>
      <c r="L32" s="33">
        <v>66</v>
      </c>
      <c r="M32" s="26">
        <v>0.9850746268656716</v>
      </c>
      <c r="N32" s="33">
        <v>49</v>
      </c>
      <c r="O32" s="33">
        <v>48</v>
      </c>
      <c r="P32" s="26">
        <v>0.97959183673469385</v>
      </c>
      <c r="Q32" s="99"/>
      <c r="R32" s="99"/>
      <c r="S32" s="84" t="e">
        <f t="shared" si="0"/>
        <v>#DIV/0!</v>
      </c>
      <c r="T32" t="str">
        <f t="shared" si="1"/>
        <v>No</v>
      </c>
      <c r="U32" t="s">
        <v>14</v>
      </c>
      <c r="V32">
        <v>43</v>
      </c>
      <c r="W32">
        <v>43</v>
      </c>
    </row>
    <row r="33" spans="1:23" x14ac:dyDescent="0.25">
      <c r="A33" s="16" t="s">
        <v>14</v>
      </c>
      <c r="B33" s="33">
        <v>72</v>
      </c>
      <c r="C33" s="33">
        <v>59</v>
      </c>
      <c r="D33" s="26">
        <v>0.81944444444444442</v>
      </c>
      <c r="E33" s="33">
        <v>72</v>
      </c>
      <c r="F33" s="33">
        <v>47</v>
      </c>
      <c r="G33" s="26">
        <v>0.65277777777777779</v>
      </c>
      <c r="H33" s="33">
        <v>72</v>
      </c>
      <c r="I33" s="33">
        <v>36</v>
      </c>
      <c r="J33" s="26">
        <v>0.5</v>
      </c>
      <c r="K33" s="33">
        <v>57</v>
      </c>
      <c r="L33" s="33">
        <v>57</v>
      </c>
      <c r="M33" s="26">
        <v>1</v>
      </c>
      <c r="N33" s="33">
        <v>43</v>
      </c>
      <c r="O33" s="33">
        <v>43</v>
      </c>
      <c r="P33" s="26">
        <v>1</v>
      </c>
      <c r="Q33" s="99"/>
      <c r="R33" s="99"/>
      <c r="S33" s="84" t="e">
        <f t="shared" si="0"/>
        <v>#DIV/0!</v>
      </c>
      <c r="T33" t="str">
        <f t="shared" si="1"/>
        <v>No</v>
      </c>
      <c r="U33" t="s">
        <v>359</v>
      </c>
      <c r="V33">
        <v>4</v>
      </c>
      <c r="W33">
        <v>3</v>
      </c>
    </row>
    <row r="34" spans="1:23" x14ac:dyDescent="0.25">
      <c r="A34" s="16" t="s">
        <v>15</v>
      </c>
      <c r="B34" s="33">
        <v>27</v>
      </c>
      <c r="C34" s="33">
        <v>6</v>
      </c>
      <c r="D34" s="26">
        <v>0.22222222222222221</v>
      </c>
      <c r="E34" s="33">
        <v>28</v>
      </c>
      <c r="F34" s="33">
        <v>13</v>
      </c>
      <c r="G34" s="26">
        <v>0.4642857142857143</v>
      </c>
      <c r="H34" s="33">
        <v>22</v>
      </c>
      <c r="I34" s="33">
        <v>14</v>
      </c>
      <c r="J34" s="26">
        <v>0.63636363636363635</v>
      </c>
      <c r="K34" s="33">
        <v>13</v>
      </c>
      <c r="L34" s="33">
        <v>10</v>
      </c>
      <c r="M34" s="26">
        <v>0.76923076923076927</v>
      </c>
      <c r="N34" s="33">
        <v>4</v>
      </c>
      <c r="O34" s="33">
        <v>3</v>
      </c>
      <c r="P34" s="26">
        <v>0.75</v>
      </c>
      <c r="Q34" s="99"/>
      <c r="R34" s="99"/>
      <c r="S34" s="84" t="e">
        <f t="shared" si="0"/>
        <v>#DIV/0!</v>
      </c>
      <c r="T34" t="str">
        <f t="shared" si="1"/>
        <v>No</v>
      </c>
      <c r="U34" t="s">
        <v>16</v>
      </c>
      <c r="V34">
        <v>108</v>
      </c>
      <c r="W34">
        <v>108</v>
      </c>
    </row>
    <row r="35" spans="1:23" x14ac:dyDescent="0.25">
      <c r="A35" s="16" t="s">
        <v>16</v>
      </c>
      <c r="B35" s="33">
        <v>129</v>
      </c>
      <c r="C35" s="33">
        <v>119</v>
      </c>
      <c r="D35" s="26">
        <v>0.92248062015503873</v>
      </c>
      <c r="E35" s="33">
        <v>123</v>
      </c>
      <c r="F35" s="33">
        <v>122</v>
      </c>
      <c r="G35" s="26">
        <v>0.99186991869918695</v>
      </c>
      <c r="H35" s="33">
        <v>125</v>
      </c>
      <c r="I35" s="33">
        <v>123</v>
      </c>
      <c r="J35" s="26">
        <v>0.98399999999999999</v>
      </c>
      <c r="K35" s="33">
        <v>148</v>
      </c>
      <c r="L35" s="33">
        <v>146</v>
      </c>
      <c r="M35" s="26">
        <v>0.98648648648648651</v>
      </c>
      <c r="N35" s="33">
        <v>108</v>
      </c>
      <c r="O35" s="33">
        <v>108</v>
      </c>
      <c r="P35" s="26">
        <v>1</v>
      </c>
      <c r="Q35" s="99"/>
      <c r="R35" s="99"/>
      <c r="S35" s="84" t="e">
        <f t="shared" si="0"/>
        <v>#DIV/0!</v>
      </c>
      <c r="T35" t="str">
        <f t="shared" si="1"/>
        <v>No</v>
      </c>
      <c r="U35" t="s">
        <v>17</v>
      </c>
      <c r="V35">
        <v>502</v>
      </c>
      <c r="W35">
        <v>449</v>
      </c>
    </row>
    <row r="36" spans="1:23" x14ac:dyDescent="0.25">
      <c r="A36" s="16" t="s">
        <v>17</v>
      </c>
      <c r="B36" s="33">
        <v>451</v>
      </c>
      <c r="C36" s="33">
        <v>291</v>
      </c>
      <c r="D36" s="26">
        <v>0.64523281596452331</v>
      </c>
      <c r="E36" s="33">
        <v>477</v>
      </c>
      <c r="F36" s="33">
        <v>358</v>
      </c>
      <c r="G36" s="26">
        <v>0.75052410901467503</v>
      </c>
      <c r="H36" s="33">
        <v>490</v>
      </c>
      <c r="I36" s="33">
        <v>415</v>
      </c>
      <c r="J36" s="26">
        <v>0.84693877551020413</v>
      </c>
      <c r="K36" s="33">
        <v>512</v>
      </c>
      <c r="L36" s="33">
        <v>479</v>
      </c>
      <c r="M36" s="26">
        <v>0.935546875</v>
      </c>
      <c r="N36" s="33">
        <v>502</v>
      </c>
      <c r="O36" s="33">
        <v>449</v>
      </c>
      <c r="P36" s="26">
        <v>0.89442231075697209</v>
      </c>
      <c r="Q36" s="99"/>
      <c r="R36" s="99"/>
      <c r="S36" s="84" t="e">
        <f t="shared" si="0"/>
        <v>#DIV/0!</v>
      </c>
      <c r="T36" t="str">
        <f t="shared" si="1"/>
        <v>No</v>
      </c>
      <c r="U36" t="s">
        <v>18</v>
      </c>
      <c r="V36">
        <v>50</v>
      </c>
      <c r="W36">
        <v>50</v>
      </c>
    </row>
    <row r="37" spans="1:23" x14ac:dyDescent="0.25">
      <c r="A37" s="16" t="s">
        <v>18</v>
      </c>
      <c r="B37" s="33">
        <v>85</v>
      </c>
      <c r="C37" s="33">
        <v>75</v>
      </c>
      <c r="D37" s="26">
        <v>0.88235294117647056</v>
      </c>
      <c r="E37" s="33">
        <v>82</v>
      </c>
      <c r="F37" s="33">
        <v>77</v>
      </c>
      <c r="G37" s="26">
        <v>0.93902439024390238</v>
      </c>
      <c r="H37" s="33">
        <v>79</v>
      </c>
      <c r="I37" s="33">
        <v>79</v>
      </c>
      <c r="J37" s="26">
        <v>1</v>
      </c>
      <c r="K37" s="33">
        <v>78</v>
      </c>
      <c r="L37" s="33">
        <v>77</v>
      </c>
      <c r="M37" s="26">
        <v>0.98717948717948723</v>
      </c>
      <c r="N37" s="33">
        <v>50</v>
      </c>
      <c r="O37" s="33">
        <v>50</v>
      </c>
      <c r="P37" s="26">
        <v>1</v>
      </c>
      <c r="Q37" s="99"/>
      <c r="R37" s="99"/>
      <c r="S37" s="84" t="e">
        <f t="shared" si="0"/>
        <v>#DIV/0!</v>
      </c>
      <c r="T37" t="str">
        <f t="shared" si="1"/>
        <v>No</v>
      </c>
      <c r="U37" t="s">
        <v>360</v>
      </c>
    </row>
    <row r="38" spans="1:23" x14ac:dyDescent="0.25">
      <c r="A38" s="16" t="s">
        <v>360</v>
      </c>
      <c r="B38" s="33">
        <v>14</v>
      </c>
      <c r="C38" s="33">
        <v>8</v>
      </c>
      <c r="D38" s="26">
        <v>0.5714285714285714</v>
      </c>
      <c r="E38" s="33">
        <v>0</v>
      </c>
      <c r="F38" s="33">
        <v>0</v>
      </c>
      <c r="G38" s="26"/>
      <c r="H38" s="33"/>
      <c r="I38" s="33"/>
      <c r="J38" s="26"/>
      <c r="K38" s="33">
        <v>1</v>
      </c>
      <c r="L38" s="33">
        <v>1</v>
      </c>
      <c r="M38" s="26">
        <v>1</v>
      </c>
      <c r="N38" s="33"/>
      <c r="O38" s="33"/>
      <c r="P38" s="26"/>
      <c r="Q38" s="99"/>
      <c r="R38" s="99"/>
      <c r="S38" s="84" t="e">
        <f t="shared" si="0"/>
        <v>#DIV/0!</v>
      </c>
      <c r="T38" t="str">
        <f t="shared" si="1"/>
        <v>No</v>
      </c>
      <c r="U38" t="s">
        <v>19</v>
      </c>
      <c r="V38">
        <v>6</v>
      </c>
      <c r="W38">
        <v>3</v>
      </c>
    </row>
    <row r="39" spans="1:23" x14ac:dyDescent="0.25">
      <c r="A39" s="16" t="s">
        <v>19</v>
      </c>
      <c r="B39" s="33">
        <v>3</v>
      </c>
      <c r="C39" s="33">
        <v>1</v>
      </c>
      <c r="D39" s="26">
        <v>0.33333333333333331</v>
      </c>
      <c r="E39" s="33">
        <v>4</v>
      </c>
      <c r="F39" s="33">
        <v>1</v>
      </c>
      <c r="G39" s="26">
        <v>0.25</v>
      </c>
      <c r="H39" s="33">
        <v>2</v>
      </c>
      <c r="I39" s="33">
        <v>2</v>
      </c>
      <c r="J39" s="26">
        <v>1</v>
      </c>
      <c r="K39" s="33">
        <v>5</v>
      </c>
      <c r="L39" s="33">
        <v>3</v>
      </c>
      <c r="M39" s="26">
        <v>0.6</v>
      </c>
      <c r="N39" s="33">
        <v>6</v>
      </c>
      <c r="O39" s="33">
        <v>3</v>
      </c>
      <c r="P39" s="26">
        <v>0.5</v>
      </c>
      <c r="Q39" s="99"/>
      <c r="R39" s="99"/>
      <c r="S39" s="84" t="e">
        <f t="shared" si="0"/>
        <v>#DIV/0!</v>
      </c>
      <c r="T39" t="str">
        <f t="shared" si="1"/>
        <v>No</v>
      </c>
      <c r="U39" t="s">
        <v>26</v>
      </c>
    </row>
    <row r="40" spans="1:23" x14ac:dyDescent="0.25">
      <c r="A40" s="16" t="s">
        <v>385</v>
      </c>
      <c r="B40" s="33">
        <v>155</v>
      </c>
      <c r="C40" s="33">
        <v>127</v>
      </c>
      <c r="D40" s="26">
        <v>0.8193548387096774</v>
      </c>
      <c r="E40" s="33">
        <v>152</v>
      </c>
      <c r="F40" s="33">
        <v>127</v>
      </c>
      <c r="G40" s="26">
        <v>0.83552631578947367</v>
      </c>
      <c r="H40" s="33">
        <v>153</v>
      </c>
      <c r="I40" s="33">
        <v>123</v>
      </c>
      <c r="J40" s="26">
        <v>0.80392156862745101</v>
      </c>
      <c r="K40" s="33">
        <v>139</v>
      </c>
      <c r="L40" s="33">
        <v>122</v>
      </c>
      <c r="M40" s="26">
        <v>0.87769784172661869</v>
      </c>
      <c r="N40" s="33">
        <v>94</v>
      </c>
      <c r="O40" s="33">
        <v>82</v>
      </c>
      <c r="P40" s="26">
        <v>0.87234042553191493</v>
      </c>
      <c r="Q40" s="99"/>
      <c r="R40" s="99"/>
      <c r="S40" s="84" t="e">
        <f t="shared" si="0"/>
        <v>#DIV/0!</v>
      </c>
      <c r="T40" t="str">
        <f t="shared" si="1"/>
        <v>No</v>
      </c>
      <c r="U40" t="s">
        <v>31</v>
      </c>
    </row>
    <row r="41" spans="1:23" x14ac:dyDescent="0.25">
      <c r="A41" s="16" t="s">
        <v>31</v>
      </c>
      <c r="B41" s="33">
        <v>39</v>
      </c>
      <c r="C41" s="33">
        <v>30</v>
      </c>
      <c r="D41" s="26">
        <v>0.76923076923076927</v>
      </c>
      <c r="E41" s="33">
        <v>40</v>
      </c>
      <c r="F41" s="33">
        <v>38</v>
      </c>
      <c r="G41" s="26">
        <v>0.95</v>
      </c>
      <c r="H41" s="33">
        <v>40</v>
      </c>
      <c r="I41" s="33">
        <v>39</v>
      </c>
      <c r="J41" s="26">
        <v>0.97499999999999998</v>
      </c>
      <c r="K41" s="33">
        <v>42</v>
      </c>
      <c r="L41" s="33">
        <v>40</v>
      </c>
      <c r="M41" s="26">
        <v>0.95238095238095233</v>
      </c>
      <c r="N41" s="33"/>
      <c r="O41" s="33"/>
      <c r="P41" s="26"/>
      <c r="Q41" s="99"/>
      <c r="R41" s="99"/>
      <c r="S41" s="84" t="e">
        <f t="shared" si="0"/>
        <v>#DIV/0!</v>
      </c>
      <c r="T41" t="str">
        <f t="shared" si="1"/>
        <v>No</v>
      </c>
      <c r="U41" t="s">
        <v>20</v>
      </c>
      <c r="V41">
        <v>42</v>
      </c>
      <c r="W41">
        <v>40</v>
      </c>
    </row>
    <row r="42" spans="1:23" x14ac:dyDescent="0.25">
      <c r="A42" s="16" t="s">
        <v>20</v>
      </c>
      <c r="B42" s="33">
        <v>57</v>
      </c>
      <c r="C42" s="33">
        <v>39</v>
      </c>
      <c r="D42" s="26">
        <v>0.68421052631578949</v>
      </c>
      <c r="E42" s="33">
        <v>63</v>
      </c>
      <c r="F42" s="33">
        <v>51</v>
      </c>
      <c r="G42" s="26">
        <v>0.80952380952380953</v>
      </c>
      <c r="H42" s="33">
        <v>48</v>
      </c>
      <c r="I42" s="33">
        <v>46</v>
      </c>
      <c r="J42" s="26">
        <v>0.95833333333333337</v>
      </c>
      <c r="K42" s="33">
        <v>64</v>
      </c>
      <c r="L42" s="33">
        <v>59</v>
      </c>
      <c r="M42" s="26">
        <v>0.921875</v>
      </c>
      <c r="N42" s="33">
        <v>42</v>
      </c>
      <c r="O42" s="33">
        <v>40</v>
      </c>
      <c r="P42" s="26">
        <v>0.95238095238095233</v>
      </c>
      <c r="Q42" s="99"/>
      <c r="R42" s="99"/>
      <c r="S42" s="84" t="e">
        <f t="shared" si="0"/>
        <v>#DIV/0!</v>
      </c>
      <c r="T42" t="str">
        <f t="shared" si="1"/>
        <v>No</v>
      </c>
      <c r="U42" t="s">
        <v>42</v>
      </c>
      <c r="V42">
        <v>100</v>
      </c>
      <c r="W42">
        <v>84</v>
      </c>
    </row>
    <row r="43" spans="1:23" x14ac:dyDescent="0.25">
      <c r="A43" s="16" t="s">
        <v>42</v>
      </c>
      <c r="B43" s="33">
        <v>115</v>
      </c>
      <c r="C43" s="33">
        <v>103</v>
      </c>
      <c r="D43" s="26">
        <v>0.89565217391304353</v>
      </c>
      <c r="E43" s="33">
        <v>126</v>
      </c>
      <c r="F43" s="33">
        <v>76</v>
      </c>
      <c r="G43" s="26">
        <v>0.60317460317460314</v>
      </c>
      <c r="H43" s="33">
        <v>135</v>
      </c>
      <c r="I43" s="33">
        <v>79</v>
      </c>
      <c r="J43" s="26">
        <v>0.58518518518518514</v>
      </c>
      <c r="K43" s="33">
        <v>135</v>
      </c>
      <c r="L43" s="33">
        <v>105</v>
      </c>
      <c r="M43" s="26">
        <v>0.77777777777777779</v>
      </c>
      <c r="N43" s="33">
        <v>100</v>
      </c>
      <c r="O43" s="33">
        <v>84</v>
      </c>
      <c r="P43" s="26">
        <v>0.84</v>
      </c>
      <c r="Q43" s="99"/>
      <c r="R43" s="99"/>
      <c r="S43" s="84" t="e">
        <f t="shared" si="0"/>
        <v>#DIV/0!</v>
      </c>
      <c r="T43" t="str">
        <f t="shared" si="1"/>
        <v>No</v>
      </c>
      <c r="U43" t="s">
        <v>43</v>
      </c>
      <c r="V43">
        <v>106</v>
      </c>
      <c r="W43">
        <v>87</v>
      </c>
    </row>
    <row r="44" spans="1:23" x14ac:dyDescent="0.25">
      <c r="A44" s="16" t="s">
        <v>43</v>
      </c>
      <c r="B44" s="33">
        <v>323</v>
      </c>
      <c r="C44" s="33">
        <v>251</v>
      </c>
      <c r="D44" s="26">
        <v>0.77708978328173373</v>
      </c>
      <c r="E44" s="33">
        <v>147</v>
      </c>
      <c r="F44" s="33">
        <v>129</v>
      </c>
      <c r="G44" s="26">
        <v>0.87755102040816324</v>
      </c>
      <c r="H44" s="33">
        <v>199</v>
      </c>
      <c r="I44" s="33">
        <v>180</v>
      </c>
      <c r="J44" s="26">
        <v>0.90452261306532666</v>
      </c>
      <c r="K44" s="33">
        <v>191</v>
      </c>
      <c r="L44" s="33">
        <v>189</v>
      </c>
      <c r="M44" s="26">
        <v>0.98952879581151831</v>
      </c>
      <c r="N44" s="33">
        <v>106</v>
      </c>
      <c r="O44" s="33">
        <v>87</v>
      </c>
      <c r="P44" s="26">
        <v>0.82075471698113212</v>
      </c>
      <c r="Q44" s="99"/>
      <c r="R44" s="99"/>
      <c r="S44" s="84" t="e">
        <f t="shared" si="0"/>
        <v>#DIV/0!</v>
      </c>
      <c r="T44" t="str">
        <f t="shared" si="1"/>
        <v>No</v>
      </c>
      <c r="U44" t="s">
        <v>34</v>
      </c>
    </row>
    <row r="45" spans="1:23" x14ac:dyDescent="0.25">
      <c r="A45" s="16" t="s">
        <v>34</v>
      </c>
      <c r="B45" s="33">
        <v>3</v>
      </c>
      <c r="C45" s="33">
        <v>3</v>
      </c>
      <c r="D45" s="26">
        <v>1</v>
      </c>
      <c r="E45" s="33">
        <v>2</v>
      </c>
      <c r="F45" s="33">
        <v>0</v>
      </c>
      <c r="G45" s="26">
        <v>0</v>
      </c>
      <c r="H45" s="33">
        <v>2</v>
      </c>
      <c r="I45" s="33">
        <v>1</v>
      </c>
      <c r="J45" s="26">
        <v>0.5</v>
      </c>
      <c r="K45" s="33">
        <v>3</v>
      </c>
      <c r="L45" s="33">
        <v>2</v>
      </c>
      <c r="M45" s="26">
        <v>0.66666666666666663</v>
      </c>
      <c r="N45" s="33"/>
      <c r="O45" s="33"/>
      <c r="P45" s="26"/>
      <c r="Q45" s="99"/>
      <c r="R45" s="99"/>
      <c r="S45" s="84" t="e">
        <f t="shared" si="0"/>
        <v>#DIV/0!</v>
      </c>
      <c r="T45" t="str">
        <f t="shared" si="1"/>
        <v>No</v>
      </c>
      <c r="U45" t="s">
        <v>35</v>
      </c>
    </row>
    <row r="46" spans="1:23" x14ac:dyDescent="0.25">
      <c r="A46" s="16" t="s">
        <v>35</v>
      </c>
      <c r="B46" s="33">
        <v>0</v>
      </c>
      <c r="C46" s="33">
        <v>0</v>
      </c>
      <c r="D46" s="26"/>
      <c r="E46" s="33">
        <v>0</v>
      </c>
      <c r="F46" s="33">
        <v>0</v>
      </c>
      <c r="G46" s="26"/>
      <c r="H46" s="33"/>
      <c r="I46" s="33"/>
      <c r="J46" s="26"/>
      <c r="K46" s="33">
        <v>0</v>
      </c>
      <c r="L46" s="33"/>
      <c r="M46" s="26"/>
      <c r="N46" s="33"/>
      <c r="O46" s="33"/>
      <c r="P46" s="26"/>
      <c r="Q46" s="99"/>
      <c r="R46" s="99"/>
      <c r="S46" s="84" t="e">
        <f t="shared" si="0"/>
        <v>#DIV/0!</v>
      </c>
      <c r="T46" t="str">
        <f t="shared" si="1"/>
        <v>No</v>
      </c>
      <c r="U46" t="s">
        <v>36</v>
      </c>
      <c r="V46">
        <v>1</v>
      </c>
      <c r="W46">
        <v>1</v>
      </c>
    </row>
    <row r="47" spans="1:23" x14ac:dyDescent="0.25">
      <c r="A47" s="16" t="s">
        <v>386</v>
      </c>
      <c r="B47" s="33">
        <v>27</v>
      </c>
      <c r="C47" s="33">
        <v>25</v>
      </c>
      <c r="D47" s="26">
        <v>0.92592592592592593</v>
      </c>
      <c r="E47" s="33">
        <v>24</v>
      </c>
      <c r="F47" s="33">
        <v>8</v>
      </c>
      <c r="G47" s="26">
        <v>0.33333333333333331</v>
      </c>
      <c r="H47" s="33">
        <v>22</v>
      </c>
      <c r="I47" s="33">
        <v>20</v>
      </c>
      <c r="J47" s="26">
        <v>0.90909090909090906</v>
      </c>
      <c r="K47" s="33">
        <v>19</v>
      </c>
      <c r="L47" s="33">
        <v>17</v>
      </c>
      <c r="M47" s="26">
        <v>0.89473684210526316</v>
      </c>
      <c r="N47" s="33">
        <v>15</v>
      </c>
      <c r="O47" s="33">
        <v>14</v>
      </c>
      <c r="P47" s="26">
        <v>0.93333333333333335</v>
      </c>
      <c r="Q47" s="99"/>
      <c r="R47" s="99"/>
      <c r="S47" s="84" t="e">
        <f t="shared" si="0"/>
        <v>#DIV/0!</v>
      </c>
      <c r="T47" t="str">
        <f t="shared" si="1"/>
        <v>No</v>
      </c>
      <c r="U47" t="s">
        <v>37</v>
      </c>
      <c r="V47">
        <v>15</v>
      </c>
      <c r="W47">
        <v>14</v>
      </c>
    </row>
    <row r="48" spans="1:23" x14ac:dyDescent="0.25">
      <c r="A48" s="16" t="s">
        <v>36</v>
      </c>
      <c r="B48" s="33">
        <v>1</v>
      </c>
      <c r="C48" s="33">
        <v>1</v>
      </c>
      <c r="D48" s="26">
        <v>1</v>
      </c>
      <c r="E48" s="33">
        <v>2</v>
      </c>
      <c r="F48" s="33">
        <v>1</v>
      </c>
      <c r="G48" s="26">
        <v>0.5</v>
      </c>
      <c r="H48" s="33">
        <v>2</v>
      </c>
      <c r="I48" s="33">
        <v>2</v>
      </c>
      <c r="J48" s="26">
        <v>1</v>
      </c>
      <c r="K48" s="33">
        <v>2</v>
      </c>
      <c r="L48" s="33">
        <v>1</v>
      </c>
      <c r="M48" s="26">
        <v>0.5</v>
      </c>
      <c r="N48" s="33">
        <v>1</v>
      </c>
      <c r="O48" s="33">
        <v>1</v>
      </c>
      <c r="P48" s="26">
        <v>1</v>
      </c>
      <c r="Q48" s="99"/>
      <c r="R48" s="99"/>
      <c r="S48" s="84" t="e">
        <f t="shared" si="0"/>
        <v>#DIV/0!</v>
      </c>
      <c r="T48" t="str">
        <f t="shared" si="1"/>
        <v>No</v>
      </c>
      <c r="U48" t="s">
        <v>38</v>
      </c>
    </row>
    <row r="49" spans="1:23" x14ac:dyDescent="0.25">
      <c r="A49" s="16" t="s">
        <v>38</v>
      </c>
      <c r="B49" s="33">
        <v>0</v>
      </c>
      <c r="C49" s="33">
        <v>0</v>
      </c>
      <c r="D49" s="26"/>
      <c r="E49" s="33">
        <v>0</v>
      </c>
      <c r="F49" s="33">
        <v>0</v>
      </c>
      <c r="G49" s="26"/>
      <c r="H49" s="33"/>
      <c r="I49" s="33"/>
      <c r="J49" s="26"/>
      <c r="K49" s="33">
        <v>0</v>
      </c>
      <c r="L49" s="33"/>
      <c r="M49" s="26"/>
      <c r="N49" s="33"/>
      <c r="O49" s="33"/>
      <c r="P49" s="26"/>
      <c r="Q49" s="99"/>
      <c r="R49" s="99"/>
      <c r="S49" s="84" t="e">
        <f t="shared" si="0"/>
        <v>#DIV/0!</v>
      </c>
      <c r="T49" t="str">
        <f t="shared" si="1"/>
        <v>No</v>
      </c>
      <c r="U49" t="s">
        <v>39</v>
      </c>
      <c r="V49">
        <v>6</v>
      </c>
      <c r="W49">
        <v>6</v>
      </c>
    </row>
    <row r="50" spans="1:23" x14ac:dyDescent="0.25">
      <c r="A50" s="16" t="s">
        <v>39</v>
      </c>
      <c r="B50" s="33">
        <v>103</v>
      </c>
      <c r="C50" s="33">
        <v>93</v>
      </c>
      <c r="D50" s="26">
        <v>0.90291262135922334</v>
      </c>
      <c r="E50" s="33">
        <v>76</v>
      </c>
      <c r="F50" s="33">
        <v>60</v>
      </c>
      <c r="G50" s="26">
        <v>0.78947368421052633</v>
      </c>
      <c r="H50" s="33">
        <v>60</v>
      </c>
      <c r="I50" s="33">
        <v>44</v>
      </c>
      <c r="J50" s="26">
        <v>0.73333333333333328</v>
      </c>
      <c r="K50" s="33">
        <v>58</v>
      </c>
      <c r="L50" s="33">
        <v>56</v>
      </c>
      <c r="M50" s="26">
        <v>0.96551724137931039</v>
      </c>
      <c r="N50" s="33">
        <v>6</v>
      </c>
      <c r="O50" s="33">
        <v>6</v>
      </c>
      <c r="P50" s="26">
        <v>1</v>
      </c>
      <c r="Q50" s="99"/>
      <c r="R50" s="99"/>
      <c r="S50" s="84" t="e">
        <f t="shared" si="0"/>
        <v>#DIV/0!</v>
      </c>
      <c r="T50" t="str">
        <f t="shared" si="1"/>
        <v>No</v>
      </c>
      <c r="U50" t="s">
        <v>40</v>
      </c>
      <c r="V50">
        <v>15</v>
      </c>
      <c r="W50">
        <v>15</v>
      </c>
    </row>
    <row r="51" spans="1:23" x14ac:dyDescent="0.25">
      <c r="A51" s="16" t="s">
        <v>40</v>
      </c>
      <c r="B51" s="33">
        <v>42</v>
      </c>
      <c r="C51" s="33">
        <v>27</v>
      </c>
      <c r="D51" s="26">
        <v>0.6428571428571429</v>
      </c>
      <c r="E51" s="33">
        <v>46</v>
      </c>
      <c r="F51" s="33">
        <v>32</v>
      </c>
      <c r="G51" s="26">
        <v>0.69565217391304346</v>
      </c>
      <c r="H51" s="33">
        <v>39</v>
      </c>
      <c r="I51" s="33">
        <v>37</v>
      </c>
      <c r="J51" s="26">
        <v>0.94871794871794868</v>
      </c>
      <c r="K51" s="33">
        <v>40</v>
      </c>
      <c r="L51" s="33">
        <v>37</v>
      </c>
      <c r="M51" s="26">
        <v>0.92500000000000004</v>
      </c>
      <c r="N51" s="33">
        <v>15</v>
      </c>
      <c r="O51" s="33">
        <v>15</v>
      </c>
      <c r="P51" s="26">
        <v>1</v>
      </c>
      <c r="Q51" s="99"/>
      <c r="R51" s="99"/>
      <c r="S51" s="84" t="e">
        <f t="shared" si="0"/>
        <v>#DIV/0!</v>
      </c>
      <c r="T51" t="str">
        <f t="shared" si="1"/>
        <v>No</v>
      </c>
      <c r="U51" t="s">
        <v>41</v>
      </c>
      <c r="V51">
        <v>94</v>
      </c>
      <c r="W51">
        <v>82</v>
      </c>
    </row>
    <row r="52" spans="1:23" x14ac:dyDescent="0.25">
      <c r="A52" s="16"/>
      <c r="B52" s="33"/>
      <c r="C52" s="33"/>
      <c r="D52" s="34"/>
      <c r="E52" s="33"/>
      <c r="F52" s="33"/>
      <c r="G52" s="34"/>
      <c r="H52" s="33"/>
      <c r="I52" s="33"/>
      <c r="J52" s="34"/>
      <c r="K52" s="33"/>
      <c r="L52" s="33"/>
      <c r="M52" s="34"/>
      <c r="N52" s="33"/>
      <c r="O52" s="33"/>
      <c r="P52" s="34"/>
      <c r="Q52" s="99"/>
      <c r="R52" s="99"/>
      <c r="S52" s="86"/>
    </row>
    <row r="53" spans="1:23" ht="15.75" thickBot="1" x14ac:dyDescent="0.3">
      <c r="A53" s="25" t="s">
        <v>123</v>
      </c>
      <c r="B53" s="28">
        <v>10561</v>
      </c>
      <c r="C53" s="28">
        <v>8175</v>
      </c>
      <c r="D53" s="27">
        <v>0.77407442477038158</v>
      </c>
      <c r="E53" s="28">
        <v>10614</v>
      </c>
      <c r="F53" s="28">
        <v>7941</v>
      </c>
      <c r="G53" s="27">
        <v>0.7481628038439796</v>
      </c>
      <c r="H53" s="28">
        <v>10949</v>
      </c>
      <c r="I53" s="28">
        <v>9071</v>
      </c>
      <c r="J53" s="27">
        <v>0.8284774865284501</v>
      </c>
      <c r="K53" s="28">
        <v>11125</v>
      </c>
      <c r="L53" s="28">
        <v>10166</v>
      </c>
      <c r="M53" s="27">
        <v>0.91379775280898878</v>
      </c>
      <c r="N53" s="28">
        <v>9799</v>
      </c>
      <c r="O53" s="28">
        <v>8838</v>
      </c>
      <c r="P53" s="27">
        <v>0.90192876824165735</v>
      </c>
      <c r="Q53" s="98">
        <f>SUM(Q6:Q51)</f>
        <v>0</v>
      </c>
      <c r="R53" s="98">
        <f>SUM(R6:R51)</f>
        <v>0</v>
      </c>
      <c r="S53" s="85" t="e">
        <f>R53/Q53</f>
        <v>#DIV/0!</v>
      </c>
    </row>
    <row r="54" spans="1:23" ht="15.75" thickTop="1" x14ac:dyDescent="0.25"/>
  </sheetData>
  <sortState ref="A6:P51">
    <sortCondition ref="A6"/>
  </sortState>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54"/>
  <sheetViews>
    <sheetView zoomScaleNormal="100" workbookViewId="0">
      <pane xSplit="1" ySplit="5" topLeftCell="L36"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2" max="2" width="10.7109375" customWidth="1"/>
    <col min="5" max="5" width="1.7109375" customWidth="1"/>
    <col min="6" max="6" width="10.85546875" customWidth="1"/>
    <col min="9" max="9" width="1.7109375" customWidth="1"/>
    <col min="10" max="10" width="10.85546875" customWidth="1"/>
    <col min="13" max="13" width="1.7109375" customWidth="1"/>
    <col min="14" max="14" width="10.85546875" customWidth="1"/>
    <col min="17" max="17" width="1.7109375" customWidth="1"/>
    <col min="18" max="18" width="10.85546875" customWidth="1"/>
    <col min="22" max="22" width="31.7109375" customWidth="1"/>
    <col min="23" max="23" width="27.140625" customWidth="1"/>
    <col min="24" max="24" width="25.7109375" customWidth="1"/>
  </cols>
  <sheetData>
    <row r="1" spans="1:24"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row>
    <row r="2" spans="1:24" x14ac:dyDescent="0.25">
      <c r="A2" s="16"/>
      <c r="B2" s="68" t="s">
        <v>393</v>
      </c>
      <c r="C2" s="69"/>
      <c r="D2" s="69"/>
      <c r="E2" s="94"/>
      <c r="F2" s="78"/>
      <c r="G2" s="69"/>
      <c r="H2" s="69"/>
      <c r="I2" s="94"/>
      <c r="J2" s="78"/>
      <c r="K2" s="69"/>
      <c r="L2" s="69"/>
      <c r="M2" s="94"/>
      <c r="N2" s="78"/>
      <c r="O2" s="69"/>
      <c r="P2" s="69"/>
      <c r="Q2" s="94"/>
      <c r="R2" s="78"/>
      <c r="S2" s="69"/>
      <c r="T2" s="69"/>
    </row>
    <row r="3" spans="1:24" ht="45" customHeight="1" x14ac:dyDescent="0.25">
      <c r="A3" s="16"/>
      <c r="B3" s="306" t="s">
        <v>124</v>
      </c>
      <c r="C3" s="334" t="s">
        <v>211</v>
      </c>
      <c r="D3" s="334"/>
      <c r="E3" s="307"/>
      <c r="F3" s="308" t="s">
        <v>124</v>
      </c>
      <c r="G3" s="334" t="s">
        <v>211</v>
      </c>
      <c r="H3" s="334"/>
      <c r="I3" s="307"/>
      <c r="J3" s="308" t="s">
        <v>124</v>
      </c>
      <c r="K3" s="334" t="s">
        <v>211</v>
      </c>
      <c r="L3" s="334"/>
      <c r="M3" s="307"/>
      <c r="N3" s="308" t="s">
        <v>124</v>
      </c>
      <c r="O3" s="334" t="s">
        <v>211</v>
      </c>
      <c r="P3" s="334"/>
      <c r="Q3" s="307"/>
      <c r="R3" s="308" t="s">
        <v>124</v>
      </c>
      <c r="S3" s="334" t="s">
        <v>211</v>
      </c>
      <c r="T3" s="334"/>
    </row>
    <row r="4" spans="1:24" x14ac:dyDescent="0.25">
      <c r="A4" s="16"/>
      <c r="B4" s="15">
        <v>2015</v>
      </c>
      <c r="C4" s="15">
        <v>2015</v>
      </c>
      <c r="D4" s="15">
        <v>2015</v>
      </c>
      <c r="E4" s="15"/>
      <c r="F4" s="79">
        <v>2017</v>
      </c>
      <c r="G4" s="15">
        <v>2017</v>
      </c>
      <c r="H4" s="15">
        <v>2017</v>
      </c>
      <c r="I4" s="15"/>
      <c r="J4" s="79">
        <v>2018</v>
      </c>
      <c r="K4" s="15">
        <v>2018</v>
      </c>
      <c r="L4" s="15">
        <v>2018</v>
      </c>
      <c r="M4" s="15"/>
      <c r="N4" s="79">
        <v>2019</v>
      </c>
      <c r="O4" s="15">
        <v>2019</v>
      </c>
      <c r="P4" s="15">
        <v>2019</v>
      </c>
      <c r="Q4" s="15"/>
      <c r="R4" s="79">
        <v>2020</v>
      </c>
      <c r="S4" s="15">
        <v>2020</v>
      </c>
      <c r="T4" s="15">
        <v>2020</v>
      </c>
    </row>
    <row r="5" spans="1:24" ht="26.25" x14ac:dyDescent="0.25">
      <c r="A5" s="40" t="s">
        <v>44</v>
      </c>
      <c r="B5" s="41" t="s">
        <v>47</v>
      </c>
      <c r="C5" s="41" t="s">
        <v>47</v>
      </c>
      <c r="D5" s="41" t="s">
        <v>51</v>
      </c>
      <c r="E5" s="41"/>
      <c r="F5" s="80" t="s">
        <v>47</v>
      </c>
      <c r="G5" s="41" t="s">
        <v>47</v>
      </c>
      <c r="H5" s="41" t="s">
        <v>51</v>
      </c>
      <c r="I5" s="41"/>
      <c r="J5" s="80" t="s">
        <v>47</v>
      </c>
      <c r="K5" s="41" t="s">
        <v>47</v>
      </c>
      <c r="L5" s="41" t="s">
        <v>51</v>
      </c>
      <c r="M5" s="41"/>
      <c r="N5" s="80" t="s">
        <v>47</v>
      </c>
      <c r="O5" s="41" t="s">
        <v>47</v>
      </c>
      <c r="P5" s="41" t="s">
        <v>51</v>
      </c>
      <c r="Q5" s="41"/>
      <c r="R5" s="80" t="s">
        <v>47</v>
      </c>
      <c r="S5" s="41" t="s">
        <v>47</v>
      </c>
      <c r="T5" s="41" t="s">
        <v>51</v>
      </c>
      <c r="V5" s="224" t="s">
        <v>316</v>
      </c>
      <c r="W5" s="225" t="s">
        <v>317</v>
      </c>
      <c r="X5" s="225" t="s">
        <v>318</v>
      </c>
    </row>
    <row r="6" spans="1:24" x14ac:dyDescent="0.25">
      <c r="A6" s="16" t="s">
        <v>0</v>
      </c>
      <c r="B6" s="13">
        <v>5</v>
      </c>
      <c r="C6" s="13">
        <v>2</v>
      </c>
      <c r="D6" s="26">
        <v>0.4</v>
      </c>
      <c r="E6" s="26"/>
      <c r="F6" s="75">
        <v>4</v>
      </c>
      <c r="G6" s="83">
        <v>3</v>
      </c>
      <c r="H6" s="26">
        <v>0.75</v>
      </c>
      <c r="I6" s="26"/>
      <c r="J6" s="75">
        <v>10</v>
      </c>
      <c r="K6" s="83">
        <v>5</v>
      </c>
      <c r="L6" s="26">
        <v>0.5</v>
      </c>
      <c r="M6" s="26"/>
      <c r="N6" s="75">
        <v>12</v>
      </c>
      <c r="O6" s="83">
        <v>5</v>
      </c>
      <c r="P6" s="26">
        <v>0.41666666666666669</v>
      </c>
      <c r="Q6" s="26"/>
      <c r="R6" s="281">
        <v>18</v>
      </c>
      <c r="S6" s="281">
        <v>9</v>
      </c>
      <c r="T6" s="84">
        <f t="shared" ref="T6:T51" si="0">S6/R6</f>
        <v>0.5</v>
      </c>
      <c r="U6" s="159" t="str">
        <f t="shared" ref="U6:U51" si="1">IF(V6=A6,"OK","No")</f>
        <v>No</v>
      </c>
      <c r="V6" s="226" t="s">
        <v>355</v>
      </c>
      <c r="W6" s="227">
        <v>18</v>
      </c>
      <c r="X6" s="227">
        <v>9</v>
      </c>
    </row>
    <row r="7" spans="1:24" x14ac:dyDescent="0.25">
      <c r="A7" s="16" t="s">
        <v>25</v>
      </c>
      <c r="B7" s="13">
        <v>78</v>
      </c>
      <c r="C7" s="13">
        <v>4</v>
      </c>
      <c r="D7" s="26">
        <v>5.128205128205128E-2</v>
      </c>
      <c r="E7" s="26"/>
      <c r="F7" s="13">
        <v>73</v>
      </c>
      <c r="G7" s="83">
        <v>64</v>
      </c>
      <c r="H7" s="26">
        <v>0.87671232876712324</v>
      </c>
      <c r="I7" s="26"/>
      <c r="J7" s="13">
        <v>76</v>
      </c>
      <c r="K7" s="83">
        <v>59</v>
      </c>
      <c r="L7" s="26">
        <v>0.77631578947368418</v>
      </c>
      <c r="M7" s="26"/>
      <c r="N7" s="13">
        <v>81</v>
      </c>
      <c r="O7" s="83">
        <v>71</v>
      </c>
      <c r="P7" s="26">
        <v>0.87654320987654322</v>
      </c>
      <c r="Q7" s="26"/>
      <c r="R7" s="281">
        <v>79</v>
      </c>
      <c r="S7" s="281">
        <v>66</v>
      </c>
      <c r="T7" s="84">
        <f t="shared" si="0"/>
        <v>0.83544303797468356</v>
      </c>
      <c r="U7" s="159" t="str">
        <f t="shared" si="1"/>
        <v>OK</v>
      </c>
      <c r="V7" s="226" t="s">
        <v>25</v>
      </c>
      <c r="W7" s="227">
        <v>79</v>
      </c>
      <c r="X7" s="227">
        <v>66</v>
      </c>
    </row>
    <row r="8" spans="1:24" x14ac:dyDescent="0.25">
      <c r="A8" s="16" t="s">
        <v>384</v>
      </c>
      <c r="B8" s="13">
        <v>1</v>
      </c>
      <c r="C8" s="13">
        <v>1</v>
      </c>
      <c r="D8" s="26">
        <v>1</v>
      </c>
      <c r="E8" s="26"/>
      <c r="F8" s="75">
        <v>4</v>
      </c>
      <c r="G8" s="83">
        <v>4</v>
      </c>
      <c r="H8" s="26">
        <v>1</v>
      </c>
      <c r="I8" s="26"/>
      <c r="J8" s="75">
        <v>2</v>
      </c>
      <c r="K8" s="83">
        <v>2</v>
      </c>
      <c r="L8" s="26">
        <v>1</v>
      </c>
      <c r="M8" s="26"/>
      <c r="N8" s="75">
        <v>2</v>
      </c>
      <c r="O8" s="83">
        <v>2</v>
      </c>
      <c r="P8" s="26">
        <v>1</v>
      </c>
      <c r="Q8" s="26"/>
      <c r="R8" s="281">
        <v>2</v>
      </c>
      <c r="S8" s="281">
        <v>2</v>
      </c>
      <c r="T8" s="84">
        <f t="shared" si="0"/>
        <v>1</v>
      </c>
      <c r="U8" s="159" t="str">
        <f t="shared" si="1"/>
        <v>OK</v>
      </c>
      <c r="V8" s="226" t="s">
        <v>384</v>
      </c>
      <c r="W8" s="227">
        <v>2</v>
      </c>
      <c r="X8" s="227">
        <v>2</v>
      </c>
    </row>
    <row r="9" spans="1:24" x14ac:dyDescent="0.25">
      <c r="A9" s="16" t="s">
        <v>1</v>
      </c>
      <c r="B9" s="13">
        <v>134</v>
      </c>
      <c r="C9" s="13">
        <v>44</v>
      </c>
      <c r="D9" s="26">
        <v>0.32835820895522388</v>
      </c>
      <c r="E9" s="26"/>
      <c r="F9" s="75">
        <v>184</v>
      </c>
      <c r="G9" s="83">
        <v>57</v>
      </c>
      <c r="H9" s="26">
        <v>0.30978260869565216</v>
      </c>
      <c r="I9" s="26"/>
      <c r="J9" s="75">
        <v>188</v>
      </c>
      <c r="K9" s="83">
        <v>45</v>
      </c>
      <c r="L9" s="26">
        <v>0.23936170212765959</v>
      </c>
      <c r="M9" s="26"/>
      <c r="N9" s="75">
        <v>223</v>
      </c>
      <c r="O9" s="83">
        <v>60</v>
      </c>
      <c r="P9" s="26">
        <v>0.26905829596412556</v>
      </c>
      <c r="Q9" s="26"/>
      <c r="R9" s="281">
        <v>200</v>
      </c>
      <c r="S9" s="281">
        <v>105</v>
      </c>
      <c r="T9" s="84">
        <f t="shared" si="0"/>
        <v>0.52500000000000002</v>
      </c>
      <c r="U9" s="159" t="str">
        <f t="shared" si="1"/>
        <v>OK</v>
      </c>
      <c r="V9" s="226" t="s">
        <v>1</v>
      </c>
      <c r="W9" s="227">
        <v>200</v>
      </c>
      <c r="X9" s="227">
        <v>105</v>
      </c>
    </row>
    <row r="10" spans="1:24" x14ac:dyDescent="0.25">
      <c r="A10" s="16" t="s">
        <v>2</v>
      </c>
      <c r="B10" s="13">
        <v>168</v>
      </c>
      <c r="C10" s="13">
        <v>103</v>
      </c>
      <c r="D10" s="26">
        <v>0.61309523809523814</v>
      </c>
      <c r="E10" s="26"/>
      <c r="F10" s="75">
        <v>267</v>
      </c>
      <c r="G10" s="83">
        <v>153</v>
      </c>
      <c r="H10" s="26">
        <v>0.5730337078651685</v>
      </c>
      <c r="I10" s="26"/>
      <c r="J10" s="75">
        <v>278</v>
      </c>
      <c r="K10" s="83">
        <v>162</v>
      </c>
      <c r="L10" s="26">
        <v>0.58273381294964033</v>
      </c>
      <c r="M10" s="26"/>
      <c r="N10" s="75">
        <v>291</v>
      </c>
      <c r="O10" s="83">
        <v>187</v>
      </c>
      <c r="P10" s="26">
        <v>0.6426116838487973</v>
      </c>
      <c r="Q10" s="26"/>
      <c r="R10" s="281">
        <v>268</v>
      </c>
      <c r="S10" s="281">
        <v>200</v>
      </c>
      <c r="T10" s="84">
        <f t="shared" si="0"/>
        <v>0.74626865671641796</v>
      </c>
      <c r="U10" s="159" t="str">
        <f t="shared" si="1"/>
        <v>OK</v>
      </c>
      <c r="V10" s="226" t="s">
        <v>2</v>
      </c>
      <c r="W10" s="227">
        <v>268</v>
      </c>
      <c r="X10" s="227">
        <v>200</v>
      </c>
    </row>
    <row r="11" spans="1:24" x14ac:dyDescent="0.25">
      <c r="A11" s="16" t="s">
        <v>3</v>
      </c>
      <c r="B11" s="13">
        <v>8</v>
      </c>
      <c r="C11" s="13">
        <v>5</v>
      </c>
      <c r="D11" s="26">
        <v>0.625</v>
      </c>
      <c r="E11" s="26"/>
      <c r="F11" s="75">
        <v>36</v>
      </c>
      <c r="G11" s="83">
        <v>35</v>
      </c>
      <c r="H11" s="26">
        <v>0.97222222222222221</v>
      </c>
      <c r="I11" s="26"/>
      <c r="J11" s="75">
        <v>37</v>
      </c>
      <c r="K11" s="83">
        <v>31</v>
      </c>
      <c r="L11" s="26">
        <v>0.83783783783783783</v>
      </c>
      <c r="M11" s="26"/>
      <c r="N11" s="75">
        <v>40</v>
      </c>
      <c r="O11" s="83">
        <v>35</v>
      </c>
      <c r="P11" s="26">
        <v>0.875</v>
      </c>
      <c r="Q11" s="26"/>
      <c r="R11" s="281">
        <v>35</v>
      </c>
      <c r="S11" s="281">
        <v>29</v>
      </c>
      <c r="T11" s="84">
        <f t="shared" si="0"/>
        <v>0.82857142857142863</v>
      </c>
      <c r="U11" s="159" t="str">
        <f t="shared" si="1"/>
        <v>OK</v>
      </c>
      <c r="V11" s="226" t="s">
        <v>3</v>
      </c>
      <c r="W11" s="227">
        <v>35</v>
      </c>
      <c r="X11" s="227">
        <v>29</v>
      </c>
    </row>
    <row r="12" spans="1:24" x14ac:dyDescent="0.25">
      <c r="A12" s="16" t="s">
        <v>32</v>
      </c>
      <c r="B12" s="13">
        <v>11</v>
      </c>
      <c r="C12" s="13">
        <v>6</v>
      </c>
      <c r="D12" s="26">
        <v>0.54545454545454541</v>
      </c>
      <c r="E12" s="26"/>
      <c r="F12" s="75">
        <v>16</v>
      </c>
      <c r="G12" s="83">
        <v>10</v>
      </c>
      <c r="H12" s="26">
        <v>0.625</v>
      </c>
      <c r="I12" s="26"/>
      <c r="J12" s="75">
        <v>16</v>
      </c>
      <c r="K12" s="83">
        <v>8</v>
      </c>
      <c r="L12" s="26">
        <v>0.5</v>
      </c>
      <c r="M12" s="26"/>
      <c r="N12" s="75">
        <v>18</v>
      </c>
      <c r="O12" s="83">
        <v>11</v>
      </c>
      <c r="P12" s="26">
        <v>0.61111111111111116</v>
      </c>
      <c r="Q12" s="26"/>
      <c r="R12" s="281">
        <v>26</v>
      </c>
      <c r="S12" s="281">
        <v>20</v>
      </c>
      <c r="T12" s="84">
        <f t="shared" si="0"/>
        <v>0.76923076923076927</v>
      </c>
      <c r="U12" s="159" t="str">
        <f t="shared" si="1"/>
        <v>OK</v>
      </c>
      <c r="V12" s="226" t="s">
        <v>32</v>
      </c>
      <c r="W12" s="227">
        <v>26</v>
      </c>
      <c r="X12" s="227">
        <v>20</v>
      </c>
    </row>
    <row r="13" spans="1:24" x14ac:dyDescent="0.25">
      <c r="A13" s="16" t="s">
        <v>22</v>
      </c>
      <c r="B13" s="13">
        <v>61</v>
      </c>
      <c r="C13" s="13">
        <v>19</v>
      </c>
      <c r="D13" s="26">
        <v>0.31147540983606559</v>
      </c>
      <c r="E13" s="26"/>
      <c r="F13" s="75">
        <v>70</v>
      </c>
      <c r="G13" s="83">
        <v>40</v>
      </c>
      <c r="H13" s="26">
        <v>0.5714285714285714</v>
      </c>
      <c r="I13" s="26"/>
      <c r="J13" s="75">
        <v>128</v>
      </c>
      <c r="K13" s="83">
        <v>16</v>
      </c>
      <c r="L13" s="26">
        <v>0.125</v>
      </c>
      <c r="M13" s="26"/>
      <c r="N13" s="75">
        <v>143</v>
      </c>
      <c r="O13" s="83">
        <v>25</v>
      </c>
      <c r="P13" s="26">
        <v>0.17482517482517482</v>
      </c>
      <c r="Q13" s="26"/>
      <c r="R13" s="281">
        <v>141</v>
      </c>
      <c r="S13" s="281">
        <v>27</v>
      </c>
      <c r="T13" s="84">
        <f t="shared" si="0"/>
        <v>0.19148936170212766</v>
      </c>
      <c r="U13" s="159" t="str">
        <f t="shared" si="1"/>
        <v>No</v>
      </c>
      <c r="V13" s="226" t="s">
        <v>319</v>
      </c>
      <c r="W13" s="227">
        <v>141</v>
      </c>
      <c r="X13" s="227">
        <v>27</v>
      </c>
    </row>
    <row r="14" spans="1:24" x14ac:dyDescent="0.25">
      <c r="A14" s="16" t="s">
        <v>4</v>
      </c>
      <c r="B14" s="13">
        <v>69</v>
      </c>
      <c r="C14" s="13">
        <v>38</v>
      </c>
      <c r="D14" s="26">
        <v>0.55072463768115942</v>
      </c>
      <c r="E14" s="26"/>
      <c r="F14" s="75">
        <v>70</v>
      </c>
      <c r="G14" s="83">
        <v>52</v>
      </c>
      <c r="H14" s="26">
        <v>0.74285714285714288</v>
      </c>
      <c r="I14" s="26"/>
      <c r="J14" s="75">
        <v>76</v>
      </c>
      <c r="K14" s="83">
        <v>62</v>
      </c>
      <c r="L14" s="26">
        <v>0.81578947368421051</v>
      </c>
      <c r="M14" s="26"/>
      <c r="N14" s="75">
        <v>76</v>
      </c>
      <c r="O14" s="83">
        <v>56</v>
      </c>
      <c r="P14" s="26">
        <v>0.73684210526315785</v>
      </c>
      <c r="Q14" s="26"/>
      <c r="R14" s="281">
        <v>86</v>
      </c>
      <c r="S14" s="281">
        <v>72</v>
      </c>
      <c r="T14" s="84">
        <f t="shared" si="0"/>
        <v>0.83720930232558144</v>
      </c>
      <c r="U14" s="159" t="str">
        <f t="shared" si="1"/>
        <v>OK</v>
      </c>
      <c r="V14" s="226" t="s">
        <v>4</v>
      </c>
      <c r="W14" s="227">
        <v>86</v>
      </c>
      <c r="X14" s="227">
        <v>72</v>
      </c>
    </row>
    <row r="15" spans="1:24" x14ac:dyDescent="0.25">
      <c r="A15" s="16" t="s">
        <v>27</v>
      </c>
      <c r="B15" s="13">
        <v>42</v>
      </c>
      <c r="C15" s="13">
        <v>38</v>
      </c>
      <c r="D15" s="26">
        <v>0.90476190476190477</v>
      </c>
      <c r="E15" s="26"/>
      <c r="F15" s="75">
        <v>54</v>
      </c>
      <c r="G15" s="83">
        <v>41</v>
      </c>
      <c r="H15" s="26">
        <v>0.7592592592592593</v>
      </c>
      <c r="I15" s="26"/>
      <c r="J15" s="75">
        <v>48</v>
      </c>
      <c r="K15" s="83">
        <v>39</v>
      </c>
      <c r="L15" s="26">
        <v>0.8125</v>
      </c>
      <c r="M15" s="26"/>
      <c r="N15" s="75">
        <v>47</v>
      </c>
      <c r="O15" s="83">
        <v>40</v>
      </c>
      <c r="P15" s="26">
        <v>0.85106382978723405</v>
      </c>
      <c r="Q15" s="26"/>
      <c r="R15" s="281">
        <v>46</v>
      </c>
      <c r="S15" s="281">
        <v>41</v>
      </c>
      <c r="T15" s="84">
        <f t="shared" si="0"/>
        <v>0.89130434782608692</v>
      </c>
      <c r="U15" s="159" t="str">
        <f t="shared" si="1"/>
        <v>OK</v>
      </c>
      <c r="V15" s="226" t="s">
        <v>27</v>
      </c>
      <c r="W15" s="227">
        <v>46</v>
      </c>
      <c r="X15" s="227">
        <v>41</v>
      </c>
    </row>
    <row r="16" spans="1:24" x14ac:dyDescent="0.25">
      <c r="A16" s="16" t="s">
        <v>28</v>
      </c>
      <c r="B16" s="13">
        <v>33</v>
      </c>
      <c r="C16" s="13">
        <v>32</v>
      </c>
      <c r="D16" s="26">
        <v>0.96969696969696972</v>
      </c>
      <c r="E16" s="26"/>
      <c r="F16" s="75">
        <v>33</v>
      </c>
      <c r="G16" s="83">
        <v>29</v>
      </c>
      <c r="H16" s="26">
        <v>0.87878787878787878</v>
      </c>
      <c r="I16" s="26"/>
      <c r="J16" s="75">
        <v>32</v>
      </c>
      <c r="K16" s="83">
        <v>29</v>
      </c>
      <c r="L16" s="26">
        <v>0.90625</v>
      </c>
      <c r="M16" s="26"/>
      <c r="N16" s="75">
        <v>36</v>
      </c>
      <c r="O16" s="83">
        <v>29</v>
      </c>
      <c r="P16" s="26">
        <v>0.80555555555555558</v>
      </c>
      <c r="Q16" s="26"/>
      <c r="R16" s="281">
        <v>37</v>
      </c>
      <c r="S16" s="281">
        <v>37</v>
      </c>
      <c r="T16" s="84">
        <f t="shared" si="0"/>
        <v>1</v>
      </c>
      <c r="U16" s="159" t="str">
        <f t="shared" si="1"/>
        <v>OK</v>
      </c>
      <c r="V16" s="226" t="s">
        <v>28</v>
      </c>
      <c r="W16" s="227">
        <v>37</v>
      </c>
      <c r="X16" s="227">
        <v>37</v>
      </c>
    </row>
    <row r="17" spans="1:24" x14ac:dyDescent="0.25">
      <c r="A17" s="16" t="s">
        <v>5</v>
      </c>
      <c r="B17" s="13">
        <v>3</v>
      </c>
      <c r="C17" s="13">
        <v>2</v>
      </c>
      <c r="D17" s="26">
        <v>0.66666666666666663</v>
      </c>
      <c r="E17" s="26"/>
      <c r="F17" s="75">
        <v>2</v>
      </c>
      <c r="G17" s="83">
        <v>2</v>
      </c>
      <c r="H17" s="26">
        <v>1</v>
      </c>
      <c r="I17" s="26"/>
      <c r="J17" s="75">
        <v>2</v>
      </c>
      <c r="K17" s="83">
        <v>2</v>
      </c>
      <c r="L17" s="26">
        <v>1</v>
      </c>
      <c r="M17" s="26"/>
      <c r="N17" s="75">
        <v>7</v>
      </c>
      <c r="O17" s="83">
        <v>2</v>
      </c>
      <c r="P17" s="26">
        <v>0.2857142857142857</v>
      </c>
      <c r="Q17" s="26"/>
      <c r="R17" s="281">
        <v>5</v>
      </c>
      <c r="S17" s="281">
        <v>2</v>
      </c>
      <c r="T17" s="84">
        <f t="shared" si="0"/>
        <v>0.4</v>
      </c>
      <c r="U17" s="159" t="str">
        <f t="shared" si="1"/>
        <v>OK</v>
      </c>
      <c r="V17" s="226" t="s">
        <v>5</v>
      </c>
      <c r="W17" s="227">
        <v>5</v>
      </c>
      <c r="X17" s="227">
        <v>2</v>
      </c>
    </row>
    <row r="18" spans="1:24" x14ac:dyDescent="0.25">
      <c r="A18" s="16" t="s">
        <v>21</v>
      </c>
      <c r="B18" s="13">
        <v>272</v>
      </c>
      <c r="C18" s="13">
        <v>83</v>
      </c>
      <c r="D18" s="26">
        <v>0.30514705882352944</v>
      </c>
      <c r="E18" s="26"/>
      <c r="F18" s="75">
        <v>324</v>
      </c>
      <c r="G18" s="83">
        <v>172</v>
      </c>
      <c r="H18" s="26">
        <v>0.53086419753086422</v>
      </c>
      <c r="I18" s="26"/>
      <c r="J18" s="75">
        <v>325</v>
      </c>
      <c r="K18" s="83">
        <v>106</v>
      </c>
      <c r="L18" s="26">
        <v>0.32615384615384613</v>
      </c>
      <c r="M18" s="26"/>
      <c r="N18" s="75">
        <v>367</v>
      </c>
      <c r="O18" s="83">
        <v>133</v>
      </c>
      <c r="P18" s="26">
        <v>0.36239782016348776</v>
      </c>
      <c r="Q18" s="26"/>
      <c r="R18" s="281">
        <v>379</v>
      </c>
      <c r="S18" s="281">
        <v>154</v>
      </c>
      <c r="T18" s="84">
        <f t="shared" si="0"/>
        <v>0.40633245382585753</v>
      </c>
      <c r="U18" s="159" t="str">
        <f t="shared" si="1"/>
        <v>No</v>
      </c>
      <c r="V18" s="226" t="s">
        <v>356</v>
      </c>
      <c r="W18" s="227">
        <v>379</v>
      </c>
      <c r="X18" s="227">
        <v>154</v>
      </c>
    </row>
    <row r="19" spans="1:24" x14ac:dyDescent="0.25">
      <c r="A19" s="16" t="s">
        <v>7</v>
      </c>
      <c r="B19" s="13">
        <v>16</v>
      </c>
      <c r="C19" s="13">
        <v>12</v>
      </c>
      <c r="D19" s="26">
        <v>0.75</v>
      </c>
      <c r="E19" s="26"/>
      <c r="F19" s="75">
        <v>22</v>
      </c>
      <c r="G19" s="83">
        <v>22</v>
      </c>
      <c r="H19" s="26">
        <v>1</v>
      </c>
      <c r="I19" s="26"/>
      <c r="J19" s="75">
        <v>18</v>
      </c>
      <c r="K19" s="83">
        <v>18</v>
      </c>
      <c r="L19" s="26">
        <v>1</v>
      </c>
      <c r="M19" s="26"/>
      <c r="N19" s="75">
        <v>18</v>
      </c>
      <c r="O19" s="83">
        <v>18</v>
      </c>
      <c r="P19" s="26">
        <v>1</v>
      </c>
      <c r="Q19" s="26"/>
      <c r="R19" s="281">
        <v>13</v>
      </c>
      <c r="S19" s="281">
        <v>10</v>
      </c>
      <c r="T19" s="84">
        <f t="shared" si="0"/>
        <v>0.76923076923076927</v>
      </c>
      <c r="U19" s="159" t="str">
        <f t="shared" si="1"/>
        <v>OK</v>
      </c>
      <c r="V19" s="226" t="s">
        <v>7</v>
      </c>
      <c r="W19" s="227">
        <v>13</v>
      </c>
      <c r="X19" s="227">
        <v>10</v>
      </c>
    </row>
    <row r="20" spans="1:24" x14ac:dyDescent="0.25">
      <c r="A20" s="16" t="s">
        <v>6</v>
      </c>
      <c r="B20" s="13">
        <v>5</v>
      </c>
      <c r="C20" s="13">
        <v>0</v>
      </c>
      <c r="D20" s="26">
        <v>0</v>
      </c>
      <c r="E20" s="26"/>
      <c r="F20" s="75">
        <v>3</v>
      </c>
      <c r="G20" s="83">
        <v>2</v>
      </c>
      <c r="H20" s="26">
        <v>0.66666666666666663</v>
      </c>
      <c r="I20" s="26"/>
      <c r="J20" s="75">
        <v>1</v>
      </c>
      <c r="K20" s="83">
        <v>0</v>
      </c>
      <c r="L20" s="26">
        <v>0</v>
      </c>
      <c r="M20" s="26"/>
      <c r="N20" s="75">
        <v>3</v>
      </c>
      <c r="O20" s="83">
        <v>1</v>
      </c>
      <c r="P20" s="26">
        <v>0.33333333333333331</v>
      </c>
      <c r="Q20" s="26"/>
      <c r="R20" s="281">
        <v>2</v>
      </c>
      <c r="S20" s="281">
        <v>1</v>
      </c>
      <c r="T20" s="84">
        <f t="shared" si="0"/>
        <v>0.5</v>
      </c>
      <c r="U20" s="159" t="str">
        <f t="shared" si="1"/>
        <v>OK</v>
      </c>
      <c r="V20" s="226" t="s">
        <v>6</v>
      </c>
      <c r="W20" s="227">
        <v>2</v>
      </c>
      <c r="X20" s="227">
        <v>1</v>
      </c>
    </row>
    <row r="21" spans="1:24" x14ac:dyDescent="0.25">
      <c r="A21" s="16" t="s">
        <v>29</v>
      </c>
      <c r="B21" s="13">
        <v>7</v>
      </c>
      <c r="C21" s="13">
        <v>5</v>
      </c>
      <c r="D21" s="26">
        <v>0.7142857142857143</v>
      </c>
      <c r="E21" s="26"/>
      <c r="F21" s="75">
        <v>8</v>
      </c>
      <c r="G21" s="83">
        <v>8</v>
      </c>
      <c r="H21" s="26">
        <v>1</v>
      </c>
      <c r="I21" s="26"/>
      <c r="J21" s="75">
        <v>7</v>
      </c>
      <c r="K21" s="83">
        <v>6</v>
      </c>
      <c r="L21" s="26">
        <v>0.8571428571428571</v>
      </c>
      <c r="M21" s="26"/>
      <c r="N21" s="75">
        <v>7</v>
      </c>
      <c r="O21" s="83">
        <v>6</v>
      </c>
      <c r="P21" s="26">
        <v>0.8571428571428571</v>
      </c>
      <c r="Q21" s="26"/>
      <c r="R21" s="281">
        <v>7</v>
      </c>
      <c r="S21" s="281">
        <v>7</v>
      </c>
      <c r="T21" s="84">
        <f t="shared" si="0"/>
        <v>1</v>
      </c>
      <c r="U21" s="159" t="str">
        <f t="shared" si="1"/>
        <v>OK</v>
      </c>
      <c r="V21" s="226" t="s">
        <v>29</v>
      </c>
      <c r="W21" s="227">
        <v>7</v>
      </c>
      <c r="X21" s="227">
        <v>7</v>
      </c>
    </row>
    <row r="22" spans="1:24" x14ac:dyDescent="0.25">
      <c r="A22" s="16" t="s">
        <v>8</v>
      </c>
      <c r="B22" s="13">
        <v>27</v>
      </c>
      <c r="C22" s="13">
        <v>5</v>
      </c>
      <c r="D22" s="26">
        <v>0.18518518518518517</v>
      </c>
      <c r="E22" s="26"/>
      <c r="F22" s="75">
        <v>25</v>
      </c>
      <c r="G22" s="83">
        <v>17</v>
      </c>
      <c r="H22" s="26">
        <v>0.68</v>
      </c>
      <c r="I22" s="26"/>
      <c r="J22" s="75">
        <v>26</v>
      </c>
      <c r="K22" s="83">
        <v>17</v>
      </c>
      <c r="L22" s="26">
        <v>0.65384615384615385</v>
      </c>
      <c r="M22" s="26"/>
      <c r="N22" s="75">
        <v>23</v>
      </c>
      <c r="O22" s="83">
        <v>17</v>
      </c>
      <c r="P22" s="26">
        <v>0.73913043478260865</v>
      </c>
      <c r="Q22" s="26"/>
      <c r="R22" s="281">
        <v>19</v>
      </c>
      <c r="S22" s="281">
        <v>15</v>
      </c>
      <c r="T22" s="84">
        <f t="shared" si="0"/>
        <v>0.78947368421052633</v>
      </c>
      <c r="U22" s="159" t="str">
        <f t="shared" si="1"/>
        <v>OK</v>
      </c>
      <c r="V22" s="226" t="s">
        <v>8</v>
      </c>
      <c r="W22" s="227">
        <v>19</v>
      </c>
      <c r="X22" s="227">
        <v>15</v>
      </c>
    </row>
    <row r="23" spans="1:24" x14ac:dyDescent="0.25">
      <c r="A23" s="16" t="s">
        <v>9</v>
      </c>
      <c r="B23" s="13">
        <v>5</v>
      </c>
      <c r="C23" s="13">
        <v>4</v>
      </c>
      <c r="D23" s="26">
        <v>0.8</v>
      </c>
      <c r="E23" s="26"/>
      <c r="F23" s="75">
        <v>7</v>
      </c>
      <c r="G23" s="83">
        <v>4</v>
      </c>
      <c r="H23" s="26">
        <v>0.5714285714285714</v>
      </c>
      <c r="I23" s="26"/>
      <c r="J23" s="75">
        <v>7</v>
      </c>
      <c r="K23" s="83">
        <v>6</v>
      </c>
      <c r="L23" s="26">
        <v>0.8571428571428571</v>
      </c>
      <c r="M23" s="26"/>
      <c r="N23" s="75">
        <v>7</v>
      </c>
      <c r="O23" s="83">
        <v>5</v>
      </c>
      <c r="P23" s="26">
        <v>0.7142857142857143</v>
      </c>
      <c r="Q23" s="26"/>
      <c r="R23" s="281">
        <v>6</v>
      </c>
      <c r="S23" s="281">
        <v>6</v>
      </c>
      <c r="T23" s="84">
        <f t="shared" si="0"/>
        <v>1</v>
      </c>
      <c r="U23" s="159" t="str">
        <f t="shared" si="1"/>
        <v>OK</v>
      </c>
      <c r="V23" s="226" t="s">
        <v>9</v>
      </c>
      <c r="W23" s="227">
        <v>6</v>
      </c>
      <c r="X23" s="227">
        <v>6</v>
      </c>
    </row>
    <row r="24" spans="1:24" x14ac:dyDescent="0.25">
      <c r="A24" s="16" t="s">
        <v>23</v>
      </c>
      <c r="B24" s="13">
        <v>284</v>
      </c>
      <c r="C24" s="13">
        <v>140</v>
      </c>
      <c r="D24" s="26">
        <v>0.49295774647887325</v>
      </c>
      <c r="E24" s="26"/>
      <c r="F24" s="75">
        <v>319</v>
      </c>
      <c r="G24" s="83">
        <v>196</v>
      </c>
      <c r="H24" s="26">
        <v>0.61442006269592475</v>
      </c>
      <c r="I24" s="26"/>
      <c r="J24" s="75">
        <v>324</v>
      </c>
      <c r="K24" s="83">
        <v>174</v>
      </c>
      <c r="L24" s="26">
        <v>0.53703703703703709</v>
      </c>
      <c r="M24" s="26"/>
      <c r="N24" s="75">
        <v>349</v>
      </c>
      <c r="O24" s="83">
        <v>193</v>
      </c>
      <c r="P24" s="26">
        <v>0.55300859598853869</v>
      </c>
      <c r="Q24" s="26"/>
      <c r="R24" s="281">
        <v>329</v>
      </c>
      <c r="S24" s="281">
        <v>204</v>
      </c>
      <c r="T24" s="84">
        <f t="shared" si="0"/>
        <v>0.62006079027355621</v>
      </c>
      <c r="U24" s="159" t="str">
        <f t="shared" si="1"/>
        <v>OK</v>
      </c>
      <c r="V24" s="226" t="s">
        <v>23</v>
      </c>
      <c r="W24" s="227">
        <v>329</v>
      </c>
      <c r="X24" s="227">
        <v>204</v>
      </c>
    </row>
    <row r="25" spans="1:24" x14ac:dyDescent="0.25">
      <c r="A25" s="16" t="s">
        <v>24</v>
      </c>
      <c r="B25" s="13">
        <v>1</v>
      </c>
      <c r="C25" s="13">
        <v>1</v>
      </c>
      <c r="D25" s="26">
        <v>1</v>
      </c>
      <c r="E25" s="26"/>
      <c r="F25" s="75">
        <v>1</v>
      </c>
      <c r="G25" s="83">
        <v>1</v>
      </c>
      <c r="H25" s="26">
        <v>1</v>
      </c>
      <c r="I25" s="26"/>
      <c r="J25" s="75">
        <v>1</v>
      </c>
      <c r="K25" s="83">
        <v>1</v>
      </c>
      <c r="L25" s="26">
        <v>1</v>
      </c>
      <c r="M25" s="26"/>
      <c r="N25" s="75">
        <v>1</v>
      </c>
      <c r="O25" s="83">
        <v>1</v>
      </c>
      <c r="P25" s="26">
        <v>1</v>
      </c>
      <c r="Q25" s="26"/>
      <c r="R25" s="281">
        <v>1</v>
      </c>
      <c r="S25" s="281">
        <v>1</v>
      </c>
      <c r="T25" s="84">
        <f t="shared" si="0"/>
        <v>1</v>
      </c>
      <c r="U25" s="159" t="str">
        <f t="shared" si="1"/>
        <v>OK</v>
      </c>
      <c r="V25" s="226" t="s">
        <v>24</v>
      </c>
      <c r="W25" s="227">
        <v>1</v>
      </c>
      <c r="X25" s="227">
        <v>1</v>
      </c>
    </row>
    <row r="26" spans="1:24" x14ac:dyDescent="0.25">
      <c r="A26" s="16" t="s">
        <v>33</v>
      </c>
      <c r="B26" s="13">
        <v>1</v>
      </c>
      <c r="C26" s="13">
        <v>0</v>
      </c>
      <c r="D26" s="26">
        <v>0</v>
      </c>
      <c r="E26" s="26"/>
      <c r="F26" s="75">
        <v>1</v>
      </c>
      <c r="G26" s="83">
        <v>1</v>
      </c>
      <c r="H26" s="26">
        <v>1</v>
      </c>
      <c r="I26" s="26"/>
      <c r="J26" s="75">
        <v>1</v>
      </c>
      <c r="K26" s="83">
        <v>0</v>
      </c>
      <c r="L26" s="26">
        <v>0</v>
      </c>
      <c r="M26" s="26"/>
      <c r="N26" s="75">
        <v>1</v>
      </c>
      <c r="O26" s="83">
        <v>0</v>
      </c>
      <c r="P26" s="26">
        <v>0</v>
      </c>
      <c r="Q26" s="26"/>
      <c r="R26" s="281">
        <v>1</v>
      </c>
      <c r="S26" s="281">
        <v>1</v>
      </c>
      <c r="T26" s="84">
        <f t="shared" si="0"/>
        <v>1</v>
      </c>
      <c r="U26" s="159" t="str">
        <f t="shared" si="1"/>
        <v>OK</v>
      </c>
      <c r="V26" s="226" t="s">
        <v>33</v>
      </c>
      <c r="W26" s="227">
        <v>1</v>
      </c>
      <c r="X26" s="227">
        <v>1</v>
      </c>
    </row>
    <row r="27" spans="1:24" x14ac:dyDescent="0.25">
      <c r="A27" s="16" t="s">
        <v>10</v>
      </c>
      <c r="B27" s="13">
        <v>10</v>
      </c>
      <c r="C27" s="13">
        <v>3</v>
      </c>
      <c r="D27" s="26">
        <v>0.3</v>
      </c>
      <c r="E27" s="26"/>
      <c r="F27" s="75">
        <v>12</v>
      </c>
      <c r="G27" s="83">
        <v>4</v>
      </c>
      <c r="H27" s="26">
        <v>0.33333333333333331</v>
      </c>
      <c r="I27" s="26"/>
      <c r="J27" s="75">
        <v>11</v>
      </c>
      <c r="K27" s="83">
        <v>7</v>
      </c>
      <c r="L27" s="26">
        <v>0.63636363636363635</v>
      </c>
      <c r="M27" s="26"/>
      <c r="N27" s="75">
        <v>11</v>
      </c>
      <c r="O27" s="83">
        <v>5</v>
      </c>
      <c r="P27" s="26">
        <v>0.45454545454545453</v>
      </c>
      <c r="Q27" s="26"/>
      <c r="R27" s="281">
        <v>10</v>
      </c>
      <c r="S27" s="281">
        <v>6</v>
      </c>
      <c r="T27" s="84">
        <f t="shared" si="0"/>
        <v>0.6</v>
      </c>
      <c r="U27" s="159" t="str">
        <f t="shared" si="1"/>
        <v>OK</v>
      </c>
      <c r="V27" s="226" t="s">
        <v>10</v>
      </c>
      <c r="W27" s="227">
        <v>10</v>
      </c>
      <c r="X27" s="227">
        <v>6</v>
      </c>
    </row>
    <row r="28" spans="1:24" x14ac:dyDescent="0.25">
      <c r="A28" s="16" t="s">
        <v>358</v>
      </c>
      <c r="B28" s="13">
        <v>101</v>
      </c>
      <c r="C28" s="13">
        <v>57</v>
      </c>
      <c r="D28" s="26">
        <v>0.5643564356435643</v>
      </c>
      <c r="E28" s="26"/>
      <c r="F28" s="75">
        <v>123</v>
      </c>
      <c r="G28" s="83">
        <v>93</v>
      </c>
      <c r="H28" s="26">
        <v>0.75609756097560976</v>
      </c>
      <c r="I28" s="26"/>
      <c r="J28" s="75">
        <v>114</v>
      </c>
      <c r="K28" s="83">
        <v>98</v>
      </c>
      <c r="L28" s="26">
        <v>0.85964912280701755</v>
      </c>
      <c r="M28" s="26"/>
      <c r="N28" s="75">
        <v>131</v>
      </c>
      <c r="O28" s="83">
        <v>105</v>
      </c>
      <c r="P28" s="26">
        <v>0.80152671755725191</v>
      </c>
      <c r="Q28" s="26"/>
      <c r="R28" s="281">
        <v>125</v>
      </c>
      <c r="S28" s="281">
        <v>108</v>
      </c>
      <c r="T28" s="84">
        <f t="shared" si="0"/>
        <v>0.86399999999999999</v>
      </c>
      <c r="U28" s="159" t="str">
        <f t="shared" si="1"/>
        <v>OK</v>
      </c>
      <c r="V28" s="226" t="s">
        <v>358</v>
      </c>
      <c r="W28" s="227">
        <v>125</v>
      </c>
      <c r="X28" s="227">
        <v>108</v>
      </c>
    </row>
    <row r="29" spans="1:24" x14ac:dyDescent="0.25">
      <c r="A29" s="16" t="s">
        <v>190</v>
      </c>
      <c r="B29" s="13">
        <v>20</v>
      </c>
      <c r="C29" s="13">
        <v>3</v>
      </c>
      <c r="D29" s="26">
        <v>0.15</v>
      </c>
      <c r="E29" s="26"/>
      <c r="F29" s="75">
        <v>17</v>
      </c>
      <c r="G29" s="83">
        <v>9</v>
      </c>
      <c r="H29" s="26">
        <v>0.52941176470588236</v>
      </c>
      <c r="I29" s="26"/>
      <c r="J29" s="75">
        <v>14</v>
      </c>
      <c r="K29" s="83">
        <v>8</v>
      </c>
      <c r="L29" s="26">
        <v>0.5714285714285714</v>
      </c>
      <c r="M29" s="26"/>
      <c r="N29" s="75">
        <v>11</v>
      </c>
      <c r="O29" s="83">
        <v>5</v>
      </c>
      <c r="P29" s="26">
        <v>0.45454545454545453</v>
      </c>
      <c r="Q29" s="26"/>
      <c r="R29" s="281">
        <v>16</v>
      </c>
      <c r="S29" s="281">
        <v>9</v>
      </c>
      <c r="T29" s="84">
        <f t="shared" si="0"/>
        <v>0.5625</v>
      </c>
      <c r="U29" s="159" t="str">
        <f t="shared" si="1"/>
        <v>OK</v>
      </c>
      <c r="V29" s="226" t="s">
        <v>190</v>
      </c>
      <c r="W29" s="227">
        <v>16</v>
      </c>
      <c r="X29" s="227">
        <v>9</v>
      </c>
    </row>
    <row r="30" spans="1:24" x14ac:dyDescent="0.25">
      <c r="A30" s="16" t="s">
        <v>11</v>
      </c>
      <c r="B30" s="13">
        <v>26</v>
      </c>
      <c r="C30" s="13">
        <v>4</v>
      </c>
      <c r="D30" s="26">
        <v>0.15384615384615385</v>
      </c>
      <c r="E30" s="26"/>
      <c r="F30" s="75">
        <v>33</v>
      </c>
      <c r="G30" s="83">
        <v>5</v>
      </c>
      <c r="H30" s="26">
        <v>0.15151515151515152</v>
      </c>
      <c r="I30" s="26"/>
      <c r="J30" s="75">
        <v>29</v>
      </c>
      <c r="K30" s="83">
        <v>9</v>
      </c>
      <c r="L30" s="26">
        <v>0.31034482758620691</v>
      </c>
      <c r="M30" s="26"/>
      <c r="N30" s="75">
        <v>33</v>
      </c>
      <c r="O30" s="83">
        <v>9</v>
      </c>
      <c r="P30" s="26">
        <v>0.27272727272727271</v>
      </c>
      <c r="Q30" s="26"/>
      <c r="R30" s="281">
        <v>29</v>
      </c>
      <c r="S30" s="281">
        <v>25</v>
      </c>
      <c r="T30" s="84">
        <f t="shared" si="0"/>
        <v>0.86206896551724133</v>
      </c>
      <c r="U30" s="159" t="str">
        <f t="shared" si="1"/>
        <v>OK</v>
      </c>
      <c r="V30" s="226" t="s">
        <v>11</v>
      </c>
      <c r="W30" s="227">
        <v>29</v>
      </c>
      <c r="X30" s="227">
        <v>25</v>
      </c>
    </row>
    <row r="31" spans="1:24" x14ac:dyDescent="0.25">
      <c r="A31" s="16" t="s">
        <v>12</v>
      </c>
      <c r="B31" s="13">
        <v>14</v>
      </c>
      <c r="C31" s="13">
        <v>9</v>
      </c>
      <c r="D31" s="26">
        <v>0.6428571428571429</v>
      </c>
      <c r="E31" s="26"/>
      <c r="F31" s="75">
        <v>29</v>
      </c>
      <c r="G31" s="83">
        <v>11</v>
      </c>
      <c r="H31" s="26">
        <v>0.37931034482758619</v>
      </c>
      <c r="I31" s="26"/>
      <c r="J31" s="75">
        <v>18</v>
      </c>
      <c r="K31" s="83">
        <v>9</v>
      </c>
      <c r="L31" s="26">
        <v>0.5</v>
      </c>
      <c r="M31" s="26"/>
      <c r="N31" s="75">
        <v>23</v>
      </c>
      <c r="O31" s="83">
        <v>9</v>
      </c>
      <c r="P31" s="26">
        <v>0.39130434782608697</v>
      </c>
      <c r="Q31" s="26"/>
      <c r="R31" s="281">
        <v>16</v>
      </c>
      <c r="S31" s="281">
        <v>11</v>
      </c>
      <c r="T31" s="84">
        <f t="shared" si="0"/>
        <v>0.6875</v>
      </c>
      <c r="U31" s="159" t="str">
        <f t="shared" si="1"/>
        <v>OK</v>
      </c>
      <c r="V31" s="226" t="s">
        <v>12</v>
      </c>
      <c r="W31" s="227">
        <v>16</v>
      </c>
      <c r="X31" s="227">
        <v>11</v>
      </c>
    </row>
    <row r="32" spans="1:24" x14ac:dyDescent="0.25">
      <c r="A32" s="16" t="s">
        <v>13</v>
      </c>
      <c r="B32" s="13">
        <v>8</v>
      </c>
      <c r="C32" s="13">
        <v>4</v>
      </c>
      <c r="D32" s="26">
        <v>0.5</v>
      </c>
      <c r="E32" s="26"/>
      <c r="F32" s="75">
        <v>9</v>
      </c>
      <c r="G32" s="83">
        <v>5</v>
      </c>
      <c r="H32" s="26">
        <v>0.55555555555555558</v>
      </c>
      <c r="I32" s="26"/>
      <c r="J32" s="75">
        <v>9</v>
      </c>
      <c r="K32" s="83">
        <v>5</v>
      </c>
      <c r="L32" s="26">
        <v>0.55555555555555558</v>
      </c>
      <c r="M32" s="26"/>
      <c r="N32" s="75">
        <v>8</v>
      </c>
      <c r="O32" s="83">
        <v>5</v>
      </c>
      <c r="P32" s="26">
        <v>0.625</v>
      </c>
      <c r="Q32" s="26"/>
      <c r="R32" s="281">
        <v>11</v>
      </c>
      <c r="S32" s="281">
        <v>5</v>
      </c>
      <c r="T32" s="84">
        <f t="shared" si="0"/>
        <v>0.45454545454545453</v>
      </c>
      <c r="U32" s="159" t="str">
        <f t="shared" si="1"/>
        <v>OK</v>
      </c>
      <c r="V32" s="226" t="s">
        <v>13</v>
      </c>
      <c r="W32" s="227">
        <v>11</v>
      </c>
      <c r="X32" s="227">
        <v>5</v>
      </c>
    </row>
    <row r="33" spans="1:24" x14ac:dyDescent="0.25">
      <c r="A33" s="16" t="s">
        <v>14</v>
      </c>
      <c r="B33" s="13">
        <v>8</v>
      </c>
      <c r="C33" s="13">
        <v>1</v>
      </c>
      <c r="D33" s="26">
        <v>0.125</v>
      </c>
      <c r="E33" s="26"/>
      <c r="F33" s="75">
        <v>7</v>
      </c>
      <c r="G33" s="83">
        <v>3</v>
      </c>
      <c r="H33" s="26">
        <v>0.42857142857142855</v>
      </c>
      <c r="I33" s="26"/>
      <c r="J33" s="75">
        <v>7</v>
      </c>
      <c r="K33" s="83">
        <v>3</v>
      </c>
      <c r="L33" s="26">
        <v>0.42857142857142855</v>
      </c>
      <c r="M33" s="26"/>
      <c r="N33" s="75">
        <v>7</v>
      </c>
      <c r="O33" s="83">
        <v>5</v>
      </c>
      <c r="P33" s="26">
        <v>0.7142857142857143</v>
      </c>
      <c r="Q33" s="26"/>
      <c r="R33" s="281">
        <v>7</v>
      </c>
      <c r="S33" s="281">
        <v>5</v>
      </c>
      <c r="T33" s="84">
        <f t="shared" si="0"/>
        <v>0.7142857142857143</v>
      </c>
      <c r="U33" s="159" t="str">
        <f t="shared" si="1"/>
        <v>OK</v>
      </c>
      <c r="V33" s="226" t="s">
        <v>14</v>
      </c>
      <c r="W33" s="227">
        <v>7</v>
      </c>
      <c r="X33" s="227">
        <v>5</v>
      </c>
    </row>
    <row r="34" spans="1:24" x14ac:dyDescent="0.25">
      <c r="A34" s="16" t="s">
        <v>15</v>
      </c>
      <c r="B34" s="13">
        <v>5</v>
      </c>
      <c r="C34" s="13">
        <v>1</v>
      </c>
      <c r="D34" s="26">
        <v>0.2</v>
      </c>
      <c r="E34" s="26"/>
      <c r="F34" s="75">
        <v>5</v>
      </c>
      <c r="G34" s="83">
        <v>4</v>
      </c>
      <c r="H34" s="26">
        <v>0.8</v>
      </c>
      <c r="I34" s="26"/>
      <c r="J34" s="75">
        <v>6</v>
      </c>
      <c r="K34" s="83">
        <v>3</v>
      </c>
      <c r="L34" s="26">
        <v>0.5</v>
      </c>
      <c r="M34" s="26"/>
      <c r="N34" s="75">
        <v>6</v>
      </c>
      <c r="O34" s="83">
        <v>3</v>
      </c>
      <c r="P34" s="26">
        <v>0.5</v>
      </c>
      <c r="Q34" s="26"/>
      <c r="R34" s="281">
        <v>6</v>
      </c>
      <c r="S34" s="281">
        <v>2</v>
      </c>
      <c r="T34" s="84">
        <f t="shared" si="0"/>
        <v>0.33333333333333331</v>
      </c>
      <c r="U34" s="159" t="str">
        <f t="shared" si="1"/>
        <v>No</v>
      </c>
      <c r="V34" s="226" t="s">
        <v>359</v>
      </c>
      <c r="W34" s="227">
        <v>6</v>
      </c>
      <c r="X34" s="227">
        <v>2</v>
      </c>
    </row>
    <row r="35" spans="1:24" x14ac:dyDescent="0.25">
      <c r="A35" s="16" t="s">
        <v>16</v>
      </c>
      <c r="B35" s="13">
        <v>6</v>
      </c>
      <c r="C35" s="13">
        <v>3</v>
      </c>
      <c r="D35" s="26">
        <v>0.5</v>
      </c>
      <c r="E35" s="26"/>
      <c r="F35" s="75">
        <v>9</v>
      </c>
      <c r="G35" s="83">
        <v>6</v>
      </c>
      <c r="H35" s="26">
        <v>0.66666666666666663</v>
      </c>
      <c r="I35" s="26"/>
      <c r="J35" s="75">
        <v>10</v>
      </c>
      <c r="K35" s="83">
        <v>3</v>
      </c>
      <c r="L35" s="26">
        <v>0.3</v>
      </c>
      <c r="M35" s="26"/>
      <c r="N35" s="75">
        <v>12</v>
      </c>
      <c r="O35" s="83">
        <v>5</v>
      </c>
      <c r="P35" s="26">
        <v>0.41666666666666669</v>
      </c>
      <c r="Q35" s="26"/>
      <c r="R35" s="281">
        <v>14</v>
      </c>
      <c r="S35" s="281">
        <v>8</v>
      </c>
      <c r="T35" s="84">
        <f t="shared" si="0"/>
        <v>0.5714285714285714</v>
      </c>
      <c r="U35" s="159" t="str">
        <f t="shared" si="1"/>
        <v>OK</v>
      </c>
      <c r="V35" s="226" t="s">
        <v>16</v>
      </c>
      <c r="W35" s="227">
        <v>14</v>
      </c>
      <c r="X35" s="227">
        <v>8</v>
      </c>
    </row>
    <row r="36" spans="1:24" x14ac:dyDescent="0.25">
      <c r="A36" s="16" t="s">
        <v>17</v>
      </c>
      <c r="B36" s="13">
        <v>27</v>
      </c>
      <c r="C36" s="13">
        <v>9</v>
      </c>
      <c r="D36" s="26">
        <v>0.33333333333333331</v>
      </c>
      <c r="E36" s="26"/>
      <c r="F36" s="75">
        <v>38</v>
      </c>
      <c r="G36" s="83">
        <v>18</v>
      </c>
      <c r="H36" s="26">
        <v>0.47368421052631576</v>
      </c>
      <c r="I36" s="26"/>
      <c r="J36" s="75">
        <v>40</v>
      </c>
      <c r="K36" s="83">
        <v>22</v>
      </c>
      <c r="L36" s="26">
        <v>0.55000000000000004</v>
      </c>
      <c r="M36" s="26"/>
      <c r="N36" s="75">
        <v>40</v>
      </c>
      <c r="O36" s="83">
        <v>19</v>
      </c>
      <c r="P36" s="26">
        <v>0.47499999999999998</v>
      </c>
      <c r="Q36" s="26"/>
      <c r="R36" s="281">
        <v>39</v>
      </c>
      <c r="S36" s="281">
        <v>30</v>
      </c>
      <c r="T36" s="84">
        <f t="shared" si="0"/>
        <v>0.76923076923076927</v>
      </c>
      <c r="U36" s="159" t="str">
        <f t="shared" si="1"/>
        <v>OK</v>
      </c>
      <c r="V36" s="226" t="s">
        <v>17</v>
      </c>
      <c r="W36" s="227">
        <v>39</v>
      </c>
      <c r="X36" s="227">
        <v>30</v>
      </c>
    </row>
    <row r="37" spans="1:24" x14ac:dyDescent="0.25">
      <c r="A37" s="16" t="s">
        <v>18</v>
      </c>
      <c r="B37" s="13">
        <v>2</v>
      </c>
      <c r="C37" s="13">
        <v>2</v>
      </c>
      <c r="D37" s="26">
        <v>1</v>
      </c>
      <c r="E37" s="26"/>
      <c r="F37" s="75">
        <v>2</v>
      </c>
      <c r="G37" s="83">
        <v>2</v>
      </c>
      <c r="H37" s="26">
        <v>1</v>
      </c>
      <c r="I37" s="26"/>
      <c r="J37" s="75">
        <v>6</v>
      </c>
      <c r="K37" s="83">
        <v>2</v>
      </c>
      <c r="L37" s="26">
        <v>0.33333333333333331</v>
      </c>
      <c r="M37" s="26"/>
      <c r="N37" s="75">
        <v>2</v>
      </c>
      <c r="O37" s="83">
        <v>1</v>
      </c>
      <c r="P37" s="26">
        <v>0.5</v>
      </c>
      <c r="Q37" s="26"/>
      <c r="R37" s="281">
        <v>3</v>
      </c>
      <c r="S37" s="281">
        <v>1</v>
      </c>
      <c r="T37" s="84">
        <f t="shared" si="0"/>
        <v>0.33333333333333331</v>
      </c>
      <c r="U37" s="159" t="str">
        <f t="shared" si="1"/>
        <v>OK</v>
      </c>
      <c r="V37" s="226" t="s">
        <v>18</v>
      </c>
      <c r="W37" s="227">
        <v>3</v>
      </c>
      <c r="X37" s="227">
        <v>1</v>
      </c>
    </row>
    <row r="38" spans="1:24" x14ac:dyDescent="0.25">
      <c r="A38" s="16" t="s">
        <v>360</v>
      </c>
      <c r="B38" s="13">
        <v>4</v>
      </c>
      <c r="C38" s="13">
        <v>1</v>
      </c>
      <c r="D38" s="26">
        <v>0.25</v>
      </c>
      <c r="E38" s="26"/>
      <c r="F38" s="75">
        <v>4</v>
      </c>
      <c r="G38" s="83">
        <v>4</v>
      </c>
      <c r="H38" s="26">
        <v>1</v>
      </c>
      <c r="I38" s="26"/>
      <c r="J38" s="75">
        <v>9</v>
      </c>
      <c r="K38" s="83">
        <v>3</v>
      </c>
      <c r="L38" s="26">
        <v>0.33333333333333331</v>
      </c>
      <c r="M38" s="26"/>
      <c r="N38" s="75">
        <v>9</v>
      </c>
      <c r="O38" s="83">
        <v>4</v>
      </c>
      <c r="P38" s="26">
        <v>0.44444444444444442</v>
      </c>
      <c r="Q38" s="26"/>
      <c r="R38" s="281">
        <v>8</v>
      </c>
      <c r="S38" s="281">
        <v>7</v>
      </c>
      <c r="T38" s="84">
        <f t="shared" si="0"/>
        <v>0.875</v>
      </c>
      <c r="U38" s="159" t="str">
        <f t="shared" si="1"/>
        <v>OK</v>
      </c>
      <c r="V38" s="226" t="s">
        <v>360</v>
      </c>
      <c r="W38" s="227">
        <v>8</v>
      </c>
      <c r="X38" s="227">
        <v>7</v>
      </c>
    </row>
    <row r="39" spans="1:24" x14ac:dyDescent="0.25">
      <c r="A39" s="16" t="s">
        <v>19</v>
      </c>
      <c r="B39" s="13">
        <v>5</v>
      </c>
      <c r="C39" s="13">
        <v>2</v>
      </c>
      <c r="D39" s="26">
        <v>0.4</v>
      </c>
      <c r="E39" s="26"/>
      <c r="F39" s="75">
        <v>10</v>
      </c>
      <c r="G39" s="83">
        <v>1</v>
      </c>
      <c r="H39" s="26">
        <v>0.1</v>
      </c>
      <c r="I39" s="26"/>
      <c r="J39" s="75">
        <v>5</v>
      </c>
      <c r="K39" s="83">
        <v>1</v>
      </c>
      <c r="L39" s="26">
        <v>0.2</v>
      </c>
      <c r="M39" s="26"/>
      <c r="N39" s="75">
        <v>5</v>
      </c>
      <c r="O39" s="83">
        <v>0</v>
      </c>
      <c r="P39" s="26">
        <v>0</v>
      </c>
      <c r="Q39" s="26"/>
      <c r="R39" s="281">
        <v>9</v>
      </c>
      <c r="S39" s="281">
        <v>5</v>
      </c>
      <c r="T39" s="84">
        <f t="shared" si="0"/>
        <v>0.55555555555555558</v>
      </c>
      <c r="U39" s="159" t="str">
        <f t="shared" si="1"/>
        <v>OK</v>
      </c>
      <c r="V39" s="226" t="s">
        <v>19</v>
      </c>
      <c r="W39" s="227">
        <v>9</v>
      </c>
      <c r="X39" s="227">
        <v>5</v>
      </c>
    </row>
    <row r="40" spans="1:24" x14ac:dyDescent="0.25">
      <c r="A40" s="16" t="s">
        <v>385</v>
      </c>
      <c r="B40" s="13">
        <v>21</v>
      </c>
      <c r="C40" s="13">
        <v>11</v>
      </c>
      <c r="D40" s="26">
        <v>0.52380952380952384</v>
      </c>
      <c r="E40" s="26"/>
      <c r="F40" s="75">
        <v>28</v>
      </c>
      <c r="G40" s="83">
        <v>12</v>
      </c>
      <c r="H40" s="26">
        <v>0.42857142857142855</v>
      </c>
      <c r="I40" s="26"/>
      <c r="J40" s="75">
        <v>26</v>
      </c>
      <c r="K40" s="83">
        <v>15</v>
      </c>
      <c r="L40" s="26">
        <v>0.57692307692307687</v>
      </c>
      <c r="M40" s="26"/>
      <c r="N40" s="75">
        <v>36</v>
      </c>
      <c r="O40" s="83">
        <v>23</v>
      </c>
      <c r="P40" s="26">
        <v>0.63888888888888884</v>
      </c>
      <c r="Q40" s="26"/>
      <c r="R40" s="281">
        <v>27</v>
      </c>
      <c r="S40" s="281">
        <v>22</v>
      </c>
      <c r="T40" s="84">
        <f t="shared" si="0"/>
        <v>0.81481481481481477</v>
      </c>
      <c r="U40" s="159" t="str">
        <f t="shared" si="1"/>
        <v>OK</v>
      </c>
      <c r="V40" s="226" t="s">
        <v>385</v>
      </c>
      <c r="W40" s="227">
        <v>27</v>
      </c>
      <c r="X40" s="227">
        <v>22</v>
      </c>
    </row>
    <row r="41" spans="1:24" x14ac:dyDescent="0.25">
      <c r="A41" s="16" t="s">
        <v>31</v>
      </c>
      <c r="B41" s="13">
        <v>16</v>
      </c>
      <c r="C41" s="13">
        <v>9</v>
      </c>
      <c r="D41" s="26">
        <v>0.5625</v>
      </c>
      <c r="E41" s="26"/>
      <c r="F41" s="75">
        <v>15</v>
      </c>
      <c r="G41" s="83">
        <v>11</v>
      </c>
      <c r="H41" s="26">
        <v>0.73333333333333328</v>
      </c>
      <c r="I41" s="26"/>
      <c r="J41" s="75">
        <v>18</v>
      </c>
      <c r="K41" s="83">
        <v>15</v>
      </c>
      <c r="L41" s="26">
        <v>0.83333333333333337</v>
      </c>
      <c r="M41" s="26"/>
      <c r="N41" s="75">
        <v>14</v>
      </c>
      <c r="O41" s="83">
        <v>10</v>
      </c>
      <c r="P41" s="26">
        <v>0.7142857142857143</v>
      </c>
      <c r="Q41" s="26"/>
      <c r="R41" s="281">
        <v>14</v>
      </c>
      <c r="S41" s="281">
        <v>12</v>
      </c>
      <c r="T41" s="84">
        <f t="shared" si="0"/>
        <v>0.8571428571428571</v>
      </c>
      <c r="U41" s="159" t="str">
        <f t="shared" si="1"/>
        <v>OK</v>
      </c>
      <c r="V41" s="226" t="s">
        <v>31</v>
      </c>
      <c r="W41" s="227">
        <v>14</v>
      </c>
      <c r="X41" s="227">
        <v>12</v>
      </c>
    </row>
    <row r="42" spans="1:24" x14ac:dyDescent="0.25">
      <c r="A42" s="16" t="s">
        <v>20</v>
      </c>
      <c r="B42" s="13">
        <v>12</v>
      </c>
      <c r="C42" s="13">
        <v>6</v>
      </c>
      <c r="D42" s="26">
        <v>0.5</v>
      </c>
      <c r="E42" s="26"/>
      <c r="F42" s="75">
        <v>24</v>
      </c>
      <c r="G42" s="83">
        <v>12</v>
      </c>
      <c r="H42" s="26">
        <v>0.5</v>
      </c>
      <c r="I42" s="26"/>
      <c r="J42" s="75">
        <v>19</v>
      </c>
      <c r="K42" s="83">
        <v>9</v>
      </c>
      <c r="L42" s="26">
        <v>0.47368421052631576</v>
      </c>
      <c r="M42" s="26"/>
      <c r="N42" s="75">
        <v>21</v>
      </c>
      <c r="O42" s="83">
        <v>8</v>
      </c>
      <c r="P42" s="26">
        <v>0.38095238095238093</v>
      </c>
      <c r="Q42" s="26"/>
      <c r="R42" s="281">
        <v>18</v>
      </c>
      <c r="S42" s="281">
        <v>12</v>
      </c>
      <c r="T42" s="84">
        <f t="shared" si="0"/>
        <v>0.66666666666666663</v>
      </c>
      <c r="U42" s="159" t="str">
        <f t="shared" si="1"/>
        <v>OK</v>
      </c>
      <c r="V42" s="226" t="s">
        <v>20</v>
      </c>
      <c r="W42" s="227">
        <v>18</v>
      </c>
      <c r="X42" s="227">
        <v>12</v>
      </c>
    </row>
    <row r="43" spans="1:24" x14ac:dyDescent="0.25">
      <c r="A43" s="16" t="s">
        <v>42</v>
      </c>
      <c r="B43" s="13">
        <v>115</v>
      </c>
      <c r="C43" s="13">
        <v>84</v>
      </c>
      <c r="D43" s="26">
        <v>0.73043478260869565</v>
      </c>
      <c r="E43" s="26"/>
      <c r="F43" s="75">
        <v>123</v>
      </c>
      <c r="G43" s="83">
        <v>103</v>
      </c>
      <c r="H43" s="26">
        <v>0.83739837398373984</v>
      </c>
      <c r="I43" s="26"/>
      <c r="J43" s="75">
        <v>125</v>
      </c>
      <c r="K43" s="83">
        <v>95</v>
      </c>
      <c r="L43" s="26">
        <v>0.76</v>
      </c>
      <c r="M43" s="26"/>
      <c r="N43" s="75">
        <v>124</v>
      </c>
      <c r="O43" s="83">
        <v>99</v>
      </c>
      <c r="P43" s="26">
        <v>0.79838709677419351</v>
      </c>
      <c r="Q43" s="26"/>
      <c r="R43" s="281">
        <v>131</v>
      </c>
      <c r="S43" s="281">
        <v>109</v>
      </c>
      <c r="T43" s="84">
        <f t="shared" si="0"/>
        <v>0.83206106870229013</v>
      </c>
      <c r="U43" s="159" t="str">
        <f t="shared" si="1"/>
        <v>OK</v>
      </c>
      <c r="V43" s="226" t="s">
        <v>42</v>
      </c>
      <c r="W43" s="227">
        <v>131</v>
      </c>
      <c r="X43" s="227">
        <v>109</v>
      </c>
    </row>
    <row r="44" spans="1:24" x14ac:dyDescent="0.25">
      <c r="A44" s="16" t="s">
        <v>43</v>
      </c>
      <c r="B44" s="13">
        <v>102</v>
      </c>
      <c r="C44" s="13">
        <v>16</v>
      </c>
      <c r="D44" s="26">
        <v>0.15686274509803921</v>
      </c>
      <c r="E44" s="26"/>
      <c r="F44" s="75">
        <v>124</v>
      </c>
      <c r="G44" s="83">
        <v>50</v>
      </c>
      <c r="H44" s="26">
        <v>0.40322580645161288</v>
      </c>
      <c r="I44" s="26"/>
      <c r="J44" s="75">
        <v>109</v>
      </c>
      <c r="K44" s="83">
        <v>39</v>
      </c>
      <c r="L44" s="26">
        <v>0.3577981651376147</v>
      </c>
      <c r="M44" s="26"/>
      <c r="N44" s="75">
        <v>118</v>
      </c>
      <c r="O44" s="83">
        <v>50</v>
      </c>
      <c r="P44" s="26">
        <v>0.42372881355932202</v>
      </c>
      <c r="Q44" s="26"/>
      <c r="R44" s="281">
        <v>111</v>
      </c>
      <c r="S44" s="281">
        <v>97</v>
      </c>
      <c r="T44" s="84">
        <f t="shared" si="0"/>
        <v>0.87387387387387383</v>
      </c>
      <c r="U44" s="159" t="str">
        <f t="shared" si="1"/>
        <v>OK</v>
      </c>
      <c r="V44" s="226" t="s">
        <v>43</v>
      </c>
      <c r="W44" s="227">
        <v>111</v>
      </c>
      <c r="X44" s="227">
        <v>97</v>
      </c>
    </row>
    <row r="45" spans="1:24" x14ac:dyDescent="0.25">
      <c r="A45" s="16" t="s">
        <v>34</v>
      </c>
      <c r="B45" s="13">
        <v>3</v>
      </c>
      <c r="C45" s="13">
        <v>3</v>
      </c>
      <c r="D45" s="26">
        <v>1</v>
      </c>
      <c r="E45" s="26"/>
      <c r="F45" s="75">
        <v>2</v>
      </c>
      <c r="G45" s="83">
        <v>1</v>
      </c>
      <c r="H45" s="26">
        <v>0.5</v>
      </c>
      <c r="I45" s="26"/>
      <c r="J45" s="75">
        <v>3</v>
      </c>
      <c r="K45" s="83">
        <v>1</v>
      </c>
      <c r="L45" s="26">
        <v>0.33333333333333331</v>
      </c>
      <c r="M45" s="26"/>
      <c r="N45" s="75">
        <v>3</v>
      </c>
      <c r="O45" s="83">
        <v>1</v>
      </c>
      <c r="P45" s="26">
        <v>0.33333333333333331</v>
      </c>
      <c r="Q45" s="26"/>
      <c r="R45" s="281">
        <v>2</v>
      </c>
      <c r="S45" s="281">
        <v>1</v>
      </c>
      <c r="T45" s="84">
        <f t="shared" si="0"/>
        <v>0.5</v>
      </c>
      <c r="U45" s="159" t="str">
        <f t="shared" si="1"/>
        <v>OK</v>
      </c>
      <c r="V45" s="226" t="s">
        <v>34</v>
      </c>
      <c r="W45" s="227">
        <v>2</v>
      </c>
      <c r="X45" s="227">
        <v>1</v>
      </c>
    </row>
    <row r="46" spans="1:24" x14ac:dyDescent="0.25">
      <c r="A46" s="16" t="s">
        <v>35</v>
      </c>
      <c r="B46" s="13">
        <v>1</v>
      </c>
      <c r="C46" s="13">
        <v>1</v>
      </c>
      <c r="D46" s="26">
        <v>1</v>
      </c>
      <c r="E46" s="26"/>
      <c r="F46" s="75">
        <v>2</v>
      </c>
      <c r="G46" s="83">
        <v>0</v>
      </c>
      <c r="H46" s="26">
        <v>0</v>
      </c>
      <c r="I46" s="26"/>
      <c r="J46" s="75">
        <v>2</v>
      </c>
      <c r="K46" s="83">
        <v>0</v>
      </c>
      <c r="L46" s="26">
        <v>0</v>
      </c>
      <c r="M46" s="26"/>
      <c r="N46" s="75">
        <v>2</v>
      </c>
      <c r="O46" s="83">
        <v>0</v>
      </c>
      <c r="P46" s="26">
        <v>0</v>
      </c>
      <c r="Q46" s="26"/>
      <c r="R46" s="281">
        <v>1</v>
      </c>
      <c r="S46" s="281">
        <v>1</v>
      </c>
      <c r="T46" s="84">
        <f t="shared" si="0"/>
        <v>1</v>
      </c>
      <c r="U46" s="159" t="str">
        <f t="shared" si="1"/>
        <v>OK</v>
      </c>
      <c r="V46" s="226" t="s">
        <v>35</v>
      </c>
      <c r="W46" s="227">
        <v>1</v>
      </c>
      <c r="X46" s="227">
        <v>1</v>
      </c>
    </row>
    <row r="47" spans="1:24" x14ac:dyDescent="0.25">
      <c r="A47" s="16" t="s">
        <v>386</v>
      </c>
      <c r="B47" s="13">
        <v>13</v>
      </c>
      <c r="C47" s="13">
        <v>6</v>
      </c>
      <c r="D47" s="26">
        <v>0.46153846153846156</v>
      </c>
      <c r="E47" s="26"/>
      <c r="F47" s="75">
        <v>12</v>
      </c>
      <c r="G47" s="83">
        <v>6</v>
      </c>
      <c r="H47" s="26">
        <v>0.5</v>
      </c>
      <c r="I47" s="26"/>
      <c r="J47" s="75">
        <v>12</v>
      </c>
      <c r="K47" s="83">
        <v>5</v>
      </c>
      <c r="L47" s="26">
        <v>0.41666666666666669</v>
      </c>
      <c r="M47" s="26"/>
      <c r="N47" s="75">
        <v>14</v>
      </c>
      <c r="O47" s="83">
        <v>5</v>
      </c>
      <c r="P47" s="26">
        <v>0.35714285714285715</v>
      </c>
      <c r="Q47" s="26"/>
      <c r="R47" s="281">
        <v>14</v>
      </c>
      <c r="S47" s="281">
        <v>6</v>
      </c>
      <c r="T47" s="84">
        <f t="shared" si="0"/>
        <v>0.42857142857142855</v>
      </c>
      <c r="U47" s="159" t="str">
        <f t="shared" si="1"/>
        <v>OK</v>
      </c>
      <c r="V47" s="226" t="s">
        <v>386</v>
      </c>
      <c r="W47" s="227">
        <v>14</v>
      </c>
      <c r="X47" s="227">
        <v>6</v>
      </c>
    </row>
    <row r="48" spans="1:24" x14ac:dyDescent="0.25">
      <c r="A48" s="16" t="s">
        <v>36</v>
      </c>
      <c r="B48" s="13">
        <v>42</v>
      </c>
      <c r="C48" s="13">
        <v>35</v>
      </c>
      <c r="D48" s="26">
        <v>0.83333333333333337</v>
      </c>
      <c r="E48" s="26"/>
      <c r="F48" s="75">
        <v>44</v>
      </c>
      <c r="G48" s="83">
        <v>28</v>
      </c>
      <c r="H48" s="26">
        <v>0.63636363636363635</v>
      </c>
      <c r="I48" s="26"/>
      <c r="J48" s="75">
        <v>46</v>
      </c>
      <c r="K48" s="83">
        <v>22</v>
      </c>
      <c r="L48" s="26">
        <v>0.47826086956521741</v>
      </c>
      <c r="M48" s="26"/>
      <c r="N48" s="75">
        <v>53</v>
      </c>
      <c r="O48" s="83">
        <v>28</v>
      </c>
      <c r="P48" s="26">
        <v>0.52830188679245282</v>
      </c>
      <c r="Q48" s="26"/>
      <c r="R48" s="281">
        <v>52</v>
      </c>
      <c r="S48" s="281">
        <v>40</v>
      </c>
      <c r="T48" s="84">
        <f t="shared" si="0"/>
        <v>0.76923076923076927</v>
      </c>
      <c r="U48" s="159" t="str">
        <f t="shared" si="1"/>
        <v>OK</v>
      </c>
      <c r="V48" s="226" t="s">
        <v>36</v>
      </c>
      <c r="W48" s="227">
        <v>52</v>
      </c>
      <c r="X48" s="227">
        <v>40</v>
      </c>
    </row>
    <row r="49" spans="1:24" x14ac:dyDescent="0.25">
      <c r="A49" s="16" t="s">
        <v>38</v>
      </c>
      <c r="B49" s="13">
        <v>4</v>
      </c>
      <c r="C49" s="13">
        <v>4</v>
      </c>
      <c r="D49" s="26">
        <v>1</v>
      </c>
      <c r="E49" s="26"/>
      <c r="F49" s="75">
        <v>4</v>
      </c>
      <c r="G49" s="83">
        <v>1</v>
      </c>
      <c r="H49" s="26">
        <v>0.25</v>
      </c>
      <c r="I49" s="26"/>
      <c r="J49" s="75">
        <v>4</v>
      </c>
      <c r="K49" s="83">
        <v>1</v>
      </c>
      <c r="L49" s="26">
        <v>0.25</v>
      </c>
      <c r="M49" s="26"/>
      <c r="N49" s="75">
        <v>4</v>
      </c>
      <c r="O49" s="83">
        <v>1</v>
      </c>
      <c r="P49" s="26">
        <v>0.25</v>
      </c>
      <c r="Q49" s="26"/>
      <c r="R49" s="281">
        <v>3</v>
      </c>
      <c r="S49" s="281">
        <v>1</v>
      </c>
      <c r="T49" s="84">
        <f t="shared" si="0"/>
        <v>0.33333333333333331</v>
      </c>
      <c r="U49" s="159" t="str">
        <f t="shared" si="1"/>
        <v>OK</v>
      </c>
      <c r="V49" s="226" t="s">
        <v>38</v>
      </c>
      <c r="W49" s="227">
        <v>3</v>
      </c>
      <c r="X49" s="227">
        <v>1</v>
      </c>
    </row>
    <row r="50" spans="1:24" x14ac:dyDescent="0.25">
      <c r="A50" s="16" t="s">
        <v>39</v>
      </c>
      <c r="B50" s="13">
        <v>50</v>
      </c>
      <c r="C50" s="13">
        <v>28</v>
      </c>
      <c r="D50" s="26">
        <v>0.56000000000000005</v>
      </c>
      <c r="E50" s="26"/>
      <c r="F50" s="75">
        <v>62</v>
      </c>
      <c r="G50" s="83">
        <v>43</v>
      </c>
      <c r="H50" s="26">
        <v>0.69354838709677424</v>
      </c>
      <c r="I50" s="26"/>
      <c r="J50" s="75">
        <v>75</v>
      </c>
      <c r="K50" s="83">
        <v>35</v>
      </c>
      <c r="L50" s="26">
        <v>0.46666666666666667</v>
      </c>
      <c r="M50" s="26"/>
      <c r="N50" s="75">
        <v>60</v>
      </c>
      <c r="O50" s="83">
        <v>28</v>
      </c>
      <c r="P50" s="26">
        <v>0.46666666666666667</v>
      </c>
      <c r="Q50" s="26"/>
      <c r="R50" s="281">
        <v>60</v>
      </c>
      <c r="S50" s="281">
        <v>29</v>
      </c>
      <c r="T50" s="84">
        <f t="shared" si="0"/>
        <v>0.48333333333333334</v>
      </c>
      <c r="U50" s="159" t="str">
        <f t="shared" si="1"/>
        <v>OK</v>
      </c>
      <c r="V50" s="226" t="s">
        <v>39</v>
      </c>
      <c r="W50" s="227">
        <v>60</v>
      </c>
      <c r="X50" s="227">
        <v>29</v>
      </c>
    </row>
    <row r="51" spans="1:24" x14ac:dyDescent="0.25">
      <c r="A51" s="16" t="s">
        <v>40</v>
      </c>
      <c r="B51" s="13">
        <v>78</v>
      </c>
      <c r="C51" s="13">
        <v>22</v>
      </c>
      <c r="D51" s="26">
        <v>0.28205128205128205</v>
      </c>
      <c r="E51" s="26"/>
      <c r="F51" s="75">
        <v>99</v>
      </c>
      <c r="G51" s="83">
        <v>28</v>
      </c>
      <c r="H51" s="26">
        <v>0.28282828282828282</v>
      </c>
      <c r="I51" s="26"/>
      <c r="J51" s="75">
        <v>107</v>
      </c>
      <c r="K51" s="83">
        <v>83</v>
      </c>
      <c r="L51" s="26">
        <v>0.77570093457943923</v>
      </c>
      <c r="M51" s="26"/>
      <c r="N51" s="75">
        <v>120</v>
      </c>
      <c r="O51" s="83">
        <v>113</v>
      </c>
      <c r="P51" s="26">
        <v>0.94166666666666665</v>
      </c>
      <c r="Q51" s="26"/>
      <c r="R51" s="281">
        <v>114</v>
      </c>
      <c r="S51" s="281">
        <v>103</v>
      </c>
      <c r="T51" s="84">
        <f t="shared" si="0"/>
        <v>0.90350877192982459</v>
      </c>
      <c r="U51" s="159" t="str">
        <f t="shared" si="1"/>
        <v>OK</v>
      </c>
      <c r="V51" s="226" t="s">
        <v>40</v>
      </c>
      <c r="W51" s="227">
        <v>114</v>
      </c>
      <c r="X51" s="227">
        <v>103</v>
      </c>
    </row>
    <row r="52" spans="1:24" x14ac:dyDescent="0.25">
      <c r="A52" s="16"/>
      <c r="B52" s="16"/>
      <c r="C52" s="16"/>
      <c r="D52" s="34"/>
      <c r="E52" s="34"/>
      <c r="F52" s="81"/>
      <c r="G52" s="34"/>
      <c r="H52" s="34"/>
      <c r="I52" s="34"/>
      <c r="J52" s="81"/>
      <c r="K52" s="34"/>
      <c r="L52" s="34"/>
      <c r="M52" s="34"/>
      <c r="N52" s="81"/>
      <c r="O52" s="34"/>
      <c r="P52" s="34"/>
      <c r="Q52" s="34"/>
      <c r="R52" s="16"/>
      <c r="S52" s="16"/>
      <c r="T52" s="34"/>
      <c r="U52" s="159"/>
    </row>
    <row r="53" spans="1:24" ht="15.75" thickBot="1" x14ac:dyDescent="0.3">
      <c r="A53" s="25" t="s">
        <v>123</v>
      </c>
      <c r="B53" s="28">
        <v>1924</v>
      </c>
      <c r="C53" s="28">
        <v>868</v>
      </c>
      <c r="D53" s="27">
        <v>0.45114345114345117</v>
      </c>
      <c r="E53" s="303"/>
      <c r="F53" s="82">
        <v>2360</v>
      </c>
      <c r="G53" s="28">
        <v>1373</v>
      </c>
      <c r="H53" s="27">
        <v>0.58177966101694911</v>
      </c>
      <c r="I53" s="303"/>
      <c r="J53" s="82">
        <v>2427</v>
      </c>
      <c r="K53" s="28">
        <v>1281</v>
      </c>
      <c r="L53" s="27">
        <v>0.52781211372064274</v>
      </c>
      <c r="M53" s="303"/>
      <c r="N53" s="82">
        <v>2619</v>
      </c>
      <c r="O53" s="28">
        <v>1438</v>
      </c>
      <c r="P53" s="27">
        <v>0.54906452844597176</v>
      </c>
      <c r="Q53" s="303"/>
      <c r="R53" s="98">
        <f>SUM(R6:R51)</f>
        <v>2540</v>
      </c>
      <c r="S53" s="98">
        <f>SUM(S6:S51)</f>
        <v>1664</v>
      </c>
      <c r="T53" s="85">
        <f>S53/R53</f>
        <v>0.65511811023622046</v>
      </c>
      <c r="V53" s="226"/>
      <c r="W53" s="227"/>
      <c r="X53" s="227"/>
    </row>
    <row r="54" spans="1:24" ht="15.75" thickTop="1" x14ac:dyDescent="0.25">
      <c r="W54">
        <f>SUM(W6:W53)</f>
        <v>2540</v>
      </c>
      <c r="X54">
        <f>SUM(X6:X53)</f>
        <v>1664</v>
      </c>
    </row>
  </sheetData>
  <sortState ref="A6:N51">
    <sortCondition ref="A6"/>
  </sortState>
  <mergeCells count="5">
    <mergeCell ref="C3:D3"/>
    <mergeCell ref="G3:H3"/>
    <mergeCell ref="K3:L3"/>
    <mergeCell ref="O3:P3"/>
    <mergeCell ref="S3:T3"/>
  </mergeCells>
  <pageMargins left="0.7" right="0.7" top="0.75" bottom="0.75" header="0.3" footer="0.3"/>
  <pageSetup orientation="portrait"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zoomScale="106" zoomScaleNormal="106" workbookViewId="0">
      <pane xSplit="1" ySplit="5" topLeftCell="T33"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2" max="2" width="13.140625" bestFit="1" customWidth="1"/>
    <col min="3" max="4" width="12.5703125" bestFit="1" customWidth="1"/>
    <col min="5" max="5" width="2.7109375" customWidth="1"/>
    <col min="6" max="6" width="13.140625" bestFit="1" customWidth="1"/>
    <col min="7" max="8" width="12.5703125" bestFit="1" customWidth="1"/>
    <col min="9" max="9" width="2.7109375" customWidth="1"/>
    <col min="10" max="10" width="13.140625" bestFit="1" customWidth="1"/>
    <col min="11" max="12" width="12.5703125" bestFit="1" customWidth="1"/>
    <col min="13" max="13" width="2.7109375" customWidth="1"/>
    <col min="14" max="14" width="13.140625" bestFit="1" customWidth="1"/>
    <col min="15" max="16" width="12.5703125" bestFit="1" customWidth="1"/>
    <col min="17" max="17" width="2.7109375" customWidth="1"/>
    <col min="18" max="19" width="13.140625" bestFit="1" customWidth="1"/>
    <col min="20" max="20" width="12.5703125" bestFit="1" customWidth="1"/>
    <col min="21" max="21" width="2.7109375" customWidth="1"/>
    <col min="22" max="22" width="13.140625" bestFit="1" customWidth="1"/>
    <col min="23" max="24" width="12.5703125" bestFit="1" customWidth="1"/>
    <col min="25" max="25" width="9.140625" style="159"/>
    <col min="26" max="26" width="49.28515625" bestFit="1" customWidth="1"/>
    <col min="27" max="29" width="14.28515625" style="276" bestFit="1" customWidth="1"/>
  </cols>
  <sheetData>
    <row r="1" spans="1:29"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row>
    <row r="2" spans="1:29" x14ac:dyDescent="0.25">
      <c r="B2" s="274"/>
      <c r="C2" s="274"/>
      <c r="D2" s="274"/>
      <c r="F2" s="274"/>
      <c r="G2" s="274"/>
      <c r="H2" s="274"/>
      <c r="J2" s="274"/>
      <c r="K2" s="274"/>
      <c r="L2" s="274"/>
      <c r="N2" s="274"/>
      <c r="O2" s="274"/>
      <c r="P2" s="274"/>
      <c r="R2" s="274"/>
      <c r="S2" s="274"/>
      <c r="T2" s="274"/>
      <c r="V2" s="274"/>
      <c r="W2" s="274"/>
      <c r="X2" s="274"/>
    </row>
    <row r="3" spans="1:29" x14ac:dyDescent="0.25">
      <c r="B3" s="275" t="s">
        <v>394</v>
      </c>
      <c r="C3" s="275" t="s">
        <v>413</v>
      </c>
      <c r="D3" s="275" t="s">
        <v>396</v>
      </c>
      <c r="F3" s="275" t="s">
        <v>394</v>
      </c>
      <c r="G3" s="275" t="s">
        <v>413</v>
      </c>
      <c r="H3" s="275" t="s">
        <v>396</v>
      </c>
      <c r="J3" s="275" t="s">
        <v>394</v>
      </c>
      <c r="K3" s="275" t="s">
        <v>413</v>
      </c>
      <c r="L3" s="275" t="s">
        <v>396</v>
      </c>
      <c r="N3" s="275" t="s">
        <v>394</v>
      </c>
      <c r="O3" s="275" t="s">
        <v>413</v>
      </c>
      <c r="P3" s="275" t="s">
        <v>396</v>
      </c>
      <c r="R3" s="275" t="s">
        <v>394</v>
      </c>
      <c r="S3" s="275" t="s">
        <v>413</v>
      </c>
      <c r="T3" s="275" t="s">
        <v>396</v>
      </c>
      <c r="V3" s="275" t="s">
        <v>394</v>
      </c>
      <c r="W3" s="275" t="s">
        <v>413</v>
      </c>
      <c r="X3" s="275" t="s">
        <v>396</v>
      </c>
    </row>
    <row r="4" spans="1:29" s="226" customFormat="1" x14ac:dyDescent="0.25">
      <c r="B4" s="43">
        <v>2015</v>
      </c>
      <c r="C4" s="43">
        <v>2015</v>
      </c>
      <c r="D4" s="43">
        <v>2015</v>
      </c>
      <c r="F4" s="43">
        <v>2016</v>
      </c>
      <c r="G4" s="43">
        <v>2016</v>
      </c>
      <c r="H4" s="43">
        <v>2016</v>
      </c>
      <c r="J4" s="43">
        <v>2017</v>
      </c>
      <c r="K4" s="43">
        <v>2017</v>
      </c>
      <c r="L4" s="43">
        <v>2017</v>
      </c>
      <c r="N4" s="43">
        <v>2018</v>
      </c>
      <c r="O4" s="43">
        <v>2018</v>
      </c>
      <c r="P4" s="43">
        <v>2018</v>
      </c>
      <c r="R4" s="43">
        <v>2019</v>
      </c>
      <c r="S4" s="43">
        <v>2019</v>
      </c>
      <c r="T4" s="43">
        <v>2019</v>
      </c>
      <c r="V4" s="43">
        <v>2020</v>
      </c>
      <c r="W4" s="43">
        <v>2020</v>
      </c>
      <c r="X4" s="43">
        <v>2020</v>
      </c>
      <c r="Y4" s="159"/>
      <c r="AA4" s="279"/>
      <c r="AB4" s="279"/>
      <c r="AC4" s="279"/>
    </row>
    <row r="5" spans="1:29" x14ac:dyDescent="0.25">
      <c r="A5" s="40" t="s">
        <v>44</v>
      </c>
      <c r="B5" s="41" t="s">
        <v>49</v>
      </c>
      <c r="C5" s="41" t="s">
        <v>49</v>
      </c>
      <c r="D5" s="41" t="s">
        <v>49</v>
      </c>
      <c r="F5" s="41" t="s">
        <v>49</v>
      </c>
      <c r="G5" s="41" t="s">
        <v>49</v>
      </c>
      <c r="H5" s="41" t="s">
        <v>49</v>
      </c>
      <c r="J5" s="41" t="s">
        <v>49</v>
      </c>
      <c r="K5" s="41" t="s">
        <v>49</v>
      </c>
      <c r="L5" s="41" t="s">
        <v>49</v>
      </c>
      <c r="N5" s="41" t="s">
        <v>49</v>
      </c>
      <c r="O5" s="41" t="s">
        <v>49</v>
      </c>
      <c r="P5" s="41" t="s">
        <v>49</v>
      </c>
      <c r="R5" s="41" t="s">
        <v>49</v>
      </c>
      <c r="S5" s="41" t="s">
        <v>49</v>
      </c>
      <c r="T5" s="41" t="s">
        <v>49</v>
      </c>
      <c r="V5" s="41" t="s">
        <v>49</v>
      </c>
      <c r="W5" s="41" t="s">
        <v>49</v>
      </c>
      <c r="X5" s="41" t="s">
        <v>49</v>
      </c>
      <c r="Z5" s="15" t="s">
        <v>44</v>
      </c>
      <c r="AA5" s="277" t="s">
        <v>395</v>
      </c>
      <c r="AB5" s="277" t="s">
        <v>396</v>
      </c>
      <c r="AC5" s="277" t="s">
        <v>48</v>
      </c>
    </row>
    <row r="6" spans="1:29" x14ac:dyDescent="0.25">
      <c r="A6" s="16" t="s">
        <v>0</v>
      </c>
      <c r="B6" s="276">
        <v>1423569.4199999971</v>
      </c>
      <c r="C6" s="276">
        <v>776952.40999999829</v>
      </c>
      <c r="D6" s="276">
        <v>646617.00999999896</v>
      </c>
      <c r="F6" s="276">
        <v>1446736.1199999987</v>
      </c>
      <c r="G6" s="276">
        <v>823941.82999999844</v>
      </c>
      <c r="H6" s="276">
        <v>622794.29000000015</v>
      </c>
      <c r="J6" s="276">
        <v>1483014.9400000004</v>
      </c>
      <c r="K6" s="276">
        <v>814863.52000000176</v>
      </c>
      <c r="L6" s="276">
        <v>668151.41999999864</v>
      </c>
      <c r="N6" s="276">
        <v>1610146.5299999984</v>
      </c>
      <c r="O6" s="276">
        <v>868386.36999999941</v>
      </c>
      <c r="P6" s="276">
        <v>741760.15999999898</v>
      </c>
      <c r="R6" s="276">
        <v>1427953.629999999</v>
      </c>
      <c r="S6" s="276">
        <v>846148.64999999967</v>
      </c>
      <c r="T6" s="276">
        <v>581804.97999999928</v>
      </c>
      <c r="V6" s="280">
        <v>1224554.1499999992</v>
      </c>
      <c r="W6" s="280">
        <v>707143.65</v>
      </c>
      <c r="X6" s="280">
        <v>517410.49999999913</v>
      </c>
      <c r="Y6" s="159" t="str">
        <f t="shared" ref="Y6:Y51" si="0">IF(A6=Z6,"OK","No")</f>
        <v>No</v>
      </c>
      <c r="Z6" t="s">
        <v>361</v>
      </c>
      <c r="AA6" s="276">
        <v>707143.65</v>
      </c>
      <c r="AB6" s="276">
        <v>517410.49999999913</v>
      </c>
      <c r="AC6" s="276">
        <v>1224554.1499999992</v>
      </c>
    </row>
    <row r="7" spans="1:29" x14ac:dyDescent="0.25">
      <c r="A7" s="16" t="s">
        <v>25</v>
      </c>
      <c r="B7" s="276">
        <v>6575105.0999999931</v>
      </c>
      <c r="C7" s="276">
        <v>4516061.5400000103</v>
      </c>
      <c r="D7" s="276">
        <v>2059043.5599999831</v>
      </c>
      <c r="F7" s="276">
        <v>7152069.2399999974</v>
      </c>
      <c r="G7" s="276">
        <v>5193257.2100000177</v>
      </c>
      <c r="H7" s="276">
        <v>1958812.0299999798</v>
      </c>
      <c r="J7" s="276">
        <v>6952947.3499999931</v>
      </c>
      <c r="K7" s="276">
        <v>5212127.090000011</v>
      </c>
      <c r="L7" s="276">
        <v>1740820.2599999821</v>
      </c>
      <c r="N7" s="276">
        <v>7070983.5999999931</v>
      </c>
      <c r="O7" s="276">
        <v>5121515.8800000083</v>
      </c>
      <c r="P7" s="276">
        <v>1949467.7199999851</v>
      </c>
      <c r="R7" s="276">
        <v>7919326.1599999964</v>
      </c>
      <c r="S7" s="276">
        <v>5577509.7099999972</v>
      </c>
      <c r="T7" s="276">
        <v>2341816.4499999993</v>
      </c>
      <c r="V7" s="280">
        <v>6027883.8599999882</v>
      </c>
      <c r="W7" s="280">
        <v>4136393.8999999948</v>
      </c>
      <c r="X7" s="280">
        <v>1891489.9599999934</v>
      </c>
      <c r="Y7" s="159" t="str">
        <f t="shared" si="0"/>
        <v>OK</v>
      </c>
      <c r="Z7" t="s">
        <v>25</v>
      </c>
      <c r="AA7" s="276">
        <v>4136393.8999999948</v>
      </c>
      <c r="AB7" s="276">
        <v>1891489.9599999934</v>
      </c>
      <c r="AC7" s="276">
        <v>6027883.8599999882</v>
      </c>
    </row>
    <row r="8" spans="1:29" x14ac:dyDescent="0.25">
      <c r="A8" s="16" t="s">
        <v>384</v>
      </c>
      <c r="B8" s="276">
        <v>48870.430000000008</v>
      </c>
      <c r="C8" s="276">
        <v>39300.140000000007</v>
      </c>
      <c r="D8" s="276">
        <v>9570.2899999999991</v>
      </c>
      <c r="F8" s="276">
        <v>53444.45</v>
      </c>
      <c r="G8" s="276">
        <v>41825.96</v>
      </c>
      <c r="H8" s="276">
        <v>11618.489999999998</v>
      </c>
      <c r="J8" s="276">
        <v>55580.630000000005</v>
      </c>
      <c r="K8" s="276">
        <v>43370.390000000007</v>
      </c>
      <c r="L8" s="276">
        <v>12210.240000000002</v>
      </c>
      <c r="N8" s="276">
        <v>43083.23</v>
      </c>
      <c r="O8" s="276">
        <v>31577.38</v>
      </c>
      <c r="P8" s="276">
        <v>11505.85</v>
      </c>
      <c r="R8" s="276">
        <v>69546.720000000001</v>
      </c>
      <c r="S8" s="276">
        <v>52844.86</v>
      </c>
      <c r="T8" s="276">
        <v>16701.859999999997</v>
      </c>
      <c r="V8" s="280">
        <v>32659.47</v>
      </c>
      <c r="W8" s="280">
        <v>25856.010000000002</v>
      </c>
      <c r="X8" s="280">
        <v>6803.4599999999991</v>
      </c>
      <c r="Y8" s="159" t="str">
        <f t="shared" si="0"/>
        <v>OK</v>
      </c>
      <c r="Z8" t="s">
        <v>384</v>
      </c>
      <c r="AA8" s="276">
        <v>25856.010000000002</v>
      </c>
      <c r="AB8" s="276">
        <v>6803.4599999999991</v>
      </c>
      <c r="AC8" s="276">
        <v>32659.47</v>
      </c>
    </row>
    <row r="9" spans="1:29" x14ac:dyDescent="0.25">
      <c r="A9" s="16" t="s">
        <v>1</v>
      </c>
      <c r="B9" s="276">
        <v>16583598.309999822</v>
      </c>
      <c r="C9" s="276">
        <v>11361207.949999657</v>
      </c>
      <c r="D9" s="276">
        <v>5222390.3600001652</v>
      </c>
      <c r="F9" s="276">
        <v>16712125.169999853</v>
      </c>
      <c r="G9" s="276">
        <v>11773120.799999703</v>
      </c>
      <c r="H9" s="276">
        <v>4939004.370000151</v>
      </c>
      <c r="J9" s="276">
        <v>16628633.330000315</v>
      </c>
      <c r="K9" s="276">
        <v>11565056.440000108</v>
      </c>
      <c r="L9" s="276">
        <v>5063576.8900002064</v>
      </c>
      <c r="N9" s="276">
        <v>17212073.260000341</v>
      </c>
      <c r="O9" s="276">
        <v>11874059.140000129</v>
      </c>
      <c r="P9" s="276">
        <v>5338014.1200002125</v>
      </c>
      <c r="R9" s="276">
        <v>17572801.260000266</v>
      </c>
      <c r="S9" s="276">
        <v>12155551.06999997</v>
      </c>
      <c r="T9" s="276">
        <v>5417250.1900002947</v>
      </c>
      <c r="V9" s="280">
        <v>13775533.33000016</v>
      </c>
      <c r="W9" s="280">
        <v>9101337.2799999993</v>
      </c>
      <c r="X9" s="280">
        <v>4674196.0500001609</v>
      </c>
      <c r="Y9" s="159" t="str">
        <f t="shared" si="0"/>
        <v>OK</v>
      </c>
      <c r="Z9" t="s">
        <v>1</v>
      </c>
      <c r="AA9" s="276">
        <v>9101337.2799999993</v>
      </c>
      <c r="AB9" s="276">
        <v>4674196.0500001609</v>
      </c>
      <c r="AC9" s="276">
        <v>13775533.33000016</v>
      </c>
    </row>
    <row r="10" spans="1:29" x14ac:dyDescent="0.25">
      <c r="A10" s="16" t="s">
        <v>2</v>
      </c>
      <c r="B10" s="276">
        <v>14215999.129999971</v>
      </c>
      <c r="C10" s="276">
        <v>10820303.779999901</v>
      </c>
      <c r="D10" s="276">
        <v>3395695.3500000704</v>
      </c>
      <c r="F10" s="276">
        <v>14586489.980000073</v>
      </c>
      <c r="G10" s="276">
        <v>11223623.35</v>
      </c>
      <c r="H10" s="276">
        <v>3362866.630000073</v>
      </c>
      <c r="J10" s="276">
        <v>14977893.37000047</v>
      </c>
      <c r="K10" s="276">
        <v>11664886.20000037</v>
      </c>
      <c r="L10" s="276">
        <v>3313007.170000101</v>
      </c>
      <c r="N10" s="276">
        <v>15951899.500000376</v>
      </c>
      <c r="O10" s="276">
        <v>12631905.520000262</v>
      </c>
      <c r="P10" s="276">
        <v>3319993.9800001145</v>
      </c>
      <c r="R10" s="276">
        <v>15801281.23000019</v>
      </c>
      <c r="S10" s="276">
        <v>12597546.470000088</v>
      </c>
      <c r="T10" s="276">
        <v>3203734.7600001018</v>
      </c>
      <c r="V10" s="280">
        <v>12433957.130000122</v>
      </c>
      <c r="W10" s="280">
        <v>9456872.3000000305</v>
      </c>
      <c r="X10" s="280">
        <v>2977084.8300000909</v>
      </c>
      <c r="Y10" s="159" t="str">
        <f t="shared" si="0"/>
        <v>OK</v>
      </c>
      <c r="Z10" t="s">
        <v>2</v>
      </c>
      <c r="AA10" s="276">
        <v>9456872.3000000305</v>
      </c>
      <c r="AB10" s="276">
        <v>2977084.8300000909</v>
      </c>
      <c r="AC10" s="276">
        <v>12433957.130000122</v>
      </c>
    </row>
    <row r="11" spans="1:29" x14ac:dyDescent="0.25">
      <c r="A11" s="16" t="s">
        <v>3</v>
      </c>
      <c r="B11" s="276">
        <v>588900.61000000034</v>
      </c>
      <c r="C11" s="276">
        <v>490056.50000000035</v>
      </c>
      <c r="D11" s="276">
        <v>98844.110000000044</v>
      </c>
      <c r="F11" s="276">
        <v>640265.79000000074</v>
      </c>
      <c r="G11" s="276">
        <v>509676.48000000074</v>
      </c>
      <c r="H11" s="276">
        <v>130589.31000000001</v>
      </c>
      <c r="J11" s="276">
        <v>858324.4800000008</v>
      </c>
      <c r="K11" s="276">
        <v>666148.49000000081</v>
      </c>
      <c r="L11" s="276">
        <v>192175.98999999996</v>
      </c>
      <c r="N11" s="276">
        <v>879074.09000000008</v>
      </c>
      <c r="O11" s="276">
        <v>729639.94000000006</v>
      </c>
      <c r="P11" s="276">
        <v>149434.15000000005</v>
      </c>
      <c r="R11" s="276">
        <v>818555.89999999991</v>
      </c>
      <c r="S11" s="276">
        <v>666066.63999999978</v>
      </c>
      <c r="T11" s="276">
        <v>152489.26000000007</v>
      </c>
      <c r="V11" s="280">
        <v>637682.95999999961</v>
      </c>
      <c r="W11" s="280">
        <v>509701.20999999961</v>
      </c>
      <c r="X11" s="280">
        <v>127981.74999999996</v>
      </c>
      <c r="Y11" s="159" t="str">
        <f t="shared" si="0"/>
        <v>OK</v>
      </c>
      <c r="Z11" t="s">
        <v>3</v>
      </c>
      <c r="AA11" s="276">
        <v>509701.20999999961</v>
      </c>
      <c r="AB11" s="276">
        <v>127981.74999999996</v>
      </c>
      <c r="AC11" s="276">
        <v>637682.95999999961</v>
      </c>
    </row>
    <row r="12" spans="1:29" x14ac:dyDescent="0.25">
      <c r="A12" s="16" t="s">
        <v>32</v>
      </c>
      <c r="B12" s="276">
        <v>286489.74000000011</v>
      </c>
      <c r="C12" s="276">
        <v>145035.18</v>
      </c>
      <c r="D12" s="276">
        <v>141454.56000000008</v>
      </c>
      <c r="F12" s="276">
        <v>213498.47000000003</v>
      </c>
      <c r="G12" s="276">
        <v>110820.56000000003</v>
      </c>
      <c r="H12" s="276">
        <v>102677.91000000002</v>
      </c>
      <c r="J12" s="276">
        <v>148550.15000000002</v>
      </c>
      <c r="K12" s="276">
        <v>68965.169999999984</v>
      </c>
      <c r="L12" s="276">
        <v>79584.98000000004</v>
      </c>
      <c r="N12" s="276">
        <v>191789.46000000008</v>
      </c>
      <c r="O12" s="276">
        <v>100842.1200000001</v>
      </c>
      <c r="P12" s="276">
        <v>90947.339999999982</v>
      </c>
      <c r="R12" s="276">
        <v>253693.48000000004</v>
      </c>
      <c r="S12" s="276">
        <v>138216.43000000005</v>
      </c>
      <c r="T12" s="276">
        <v>115477.04999999997</v>
      </c>
      <c r="V12" s="280">
        <v>281567.44999999995</v>
      </c>
      <c r="W12" s="280">
        <v>143483.03999999995</v>
      </c>
      <c r="X12" s="280">
        <v>138084.40999999997</v>
      </c>
      <c r="Y12" s="159" t="str">
        <f t="shared" si="0"/>
        <v>OK</v>
      </c>
      <c r="Z12" t="s">
        <v>32</v>
      </c>
      <c r="AA12" s="276">
        <v>143483.03999999995</v>
      </c>
      <c r="AB12" s="276">
        <v>138084.40999999997</v>
      </c>
      <c r="AC12" s="276">
        <v>281567.44999999995</v>
      </c>
    </row>
    <row r="13" spans="1:29" x14ac:dyDescent="0.25">
      <c r="A13" s="16" t="s">
        <v>22</v>
      </c>
      <c r="B13" s="276">
        <v>2088727.8299999912</v>
      </c>
      <c r="C13" s="276">
        <v>1294190.3099999928</v>
      </c>
      <c r="D13" s="276">
        <v>794537.51999999851</v>
      </c>
      <c r="F13" s="276">
        <v>1972862.8199999891</v>
      </c>
      <c r="G13" s="276">
        <v>1256651.4299999902</v>
      </c>
      <c r="H13" s="276">
        <v>716211.38999999885</v>
      </c>
      <c r="J13" s="276">
        <v>1951405.3199999961</v>
      </c>
      <c r="K13" s="276">
        <v>1239068.5299999977</v>
      </c>
      <c r="L13" s="276">
        <v>712336.78999999841</v>
      </c>
      <c r="N13" s="276">
        <v>2570350.2399999951</v>
      </c>
      <c r="O13" s="276">
        <v>1697974.9899999974</v>
      </c>
      <c r="P13" s="276">
        <v>872375.24999999767</v>
      </c>
      <c r="R13" s="276">
        <v>2582883.7000000007</v>
      </c>
      <c r="S13" s="276">
        <v>1600114.800000004</v>
      </c>
      <c r="T13" s="276">
        <v>982768.89999999665</v>
      </c>
      <c r="V13" s="280">
        <v>1978049.1199999948</v>
      </c>
      <c r="W13" s="280">
        <v>1195689.2199999974</v>
      </c>
      <c r="X13" s="280">
        <v>782359.89999999735</v>
      </c>
      <c r="Y13" s="159" t="str">
        <f t="shared" si="0"/>
        <v>No</v>
      </c>
      <c r="Z13" t="s">
        <v>319</v>
      </c>
      <c r="AA13" s="276">
        <v>1195689.2199999974</v>
      </c>
      <c r="AB13" s="276">
        <v>782359.89999999735</v>
      </c>
      <c r="AC13" s="276">
        <v>1978049.1199999948</v>
      </c>
    </row>
    <row r="14" spans="1:29" x14ac:dyDescent="0.25">
      <c r="A14" s="16" t="s">
        <v>4</v>
      </c>
      <c r="B14" s="276">
        <v>3258634.3099999866</v>
      </c>
      <c r="C14" s="276">
        <v>2094340.9899999939</v>
      </c>
      <c r="D14" s="276">
        <v>1164293.3199999926</v>
      </c>
      <c r="F14" s="276">
        <v>3458555.2199999914</v>
      </c>
      <c r="G14" s="276">
        <v>2276191.2699999986</v>
      </c>
      <c r="H14" s="276">
        <v>1182363.949999993</v>
      </c>
      <c r="J14" s="276">
        <v>3500604.0099999858</v>
      </c>
      <c r="K14" s="276">
        <v>2322193.8899999917</v>
      </c>
      <c r="L14" s="276">
        <v>1178410.1199999941</v>
      </c>
      <c r="N14" s="276">
        <v>3821552.0499999914</v>
      </c>
      <c r="O14" s="276">
        <v>2620760.2499999991</v>
      </c>
      <c r="P14" s="276">
        <v>1200791.7999999924</v>
      </c>
      <c r="R14" s="276">
        <v>3871911.6999999937</v>
      </c>
      <c r="S14" s="276">
        <v>2595203.2799999965</v>
      </c>
      <c r="T14" s="276">
        <v>1276708.4199999969</v>
      </c>
      <c r="V14" s="280">
        <v>2755802.0499999924</v>
      </c>
      <c r="W14" s="280">
        <v>1666983.9099999964</v>
      </c>
      <c r="X14" s="280">
        <v>1088818.1399999959</v>
      </c>
      <c r="Y14" s="159" t="str">
        <f t="shared" si="0"/>
        <v>OK</v>
      </c>
      <c r="Z14" t="s">
        <v>4</v>
      </c>
      <c r="AA14" s="276">
        <v>1666983.9099999964</v>
      </c>
      <c r="AB14" s="276">
        <v>1088818.1399999959</v>
      </c>
      <c r="AC14" s="276">
        <v>2755802.0499999924</v>
      </c>
    </row>
    <row r="15" spans="1:29" x14ac:dyDescent="0.25">
      <c r="A15" s="16" t="s">
        <v>27</v>
      </c>
      <c r="B15" s="276">
        <v>1003896.1400000001</v>
      </c>
      <c r="C15" s="276">
        <v>407942.1700000001</v>
      </c>
      <c r="D15" s="276">
        <v>595953.97000000009</v>
      </c>
      <c r="F15" s="276">
        <v>815291.06000000075</v>
      </c>
      <c r="G15" s="276">
        <v>372991.84000000055</v>
      </c>
      <c r="H15" s="276">
        <v>442299.22000000026</v>
      </c>
      <c r="J15" s="276">
        <v>788918.60000000056</v>
      </c>
      <c r="K15" s="276">
        <v>353379.76999999984</v>
      </c>
      <c r="L15" s="276">
        <v>435538.83000000066</v>
      </c>
      <c r="N15" s="276">
        <v>814875.5400000005</v>
      </c>
      <c r="O15" s="276">
        <v>325859.74000000017</v>
      </c>
      <c r="P15" s="276">
        <v>489015.80000000028</v>
      </c>
      <c r="R15" s="276">
        <v>883984.11999999976</v>
      </c>
      <c r="S15" s="276">
        <v>342001.67999999947</v>
      </c>
      <c r="T15" s="276">
        <v>541982.44000000029</v>
      </c>
      <c r="V15" s="280">
        <v>575291.14000000025</v>
      </c>
      <c r="W15" s="280">
        <v>182428.9</v>
      </c>
      <c r="X15" s="280">
        <v>392862.24000000028</v>
      </c>
      <c r="Y15" s="159" t="str">
        <f t="shared" si="0"/>
        <v>OK</v>
      </c>
      <c r="Z15" t="s">
        <v>27</v>
      </c>
      <c r="AA15" s="276">
        <v>182428.9</v>
      </c>
      <c r="AB15" s="276">
        <v>392862.24000000028</v>
      </c>
      <c r="AC15" s="276">
        <v>575291.14000000025</v>
      </c>
    </row>
    <row r="16" spans="1:29" x14ac:dyDescent="0.25">
      <c r="A16" s="16" t="s">
        <v>28</v>
      </c>
      <c r="B16" s="276">
        <v>355486.74</v>
      </c>
      <c r="C16" s="276">
        <v>222740.36000000007</v>
      </c>
      <c r="D16" s="276">
        <v>132746.37999999995</v>
      </c>
      <c r="F16" s="276">
        <v>343309.02000000043</v>
      </c>
      <c r="G16" s="276">
        <v>233394.85000000038</v>
      </c>
      <c r="H16" s="276">
        <v>109914.17000000004</v>
      </c>
      <c r="J16" s="276">
        <v>342703.83999999973</v>
      </c>
      <c r="K16" s="276">
        <v>209551.07999999967</v>
      </c>
      <c r="L16" s="276">
        <v>133152.76000000007</v>
      </c>
      <c r="N16" s="276">
        <v>366586.61000000016</v>
      </c>
      <c r="O16" s="276">
        <v>239667.20000000016</v>
      </c>
      <c r="P16" s="276">
        <v>126919.41</v>
      </c>
      <c r="R16" s="276">
        <v>365516.98999999993</v>
      </c>
      <c r="S16" s="276">
        <v>244148.31999999995</v>
      </c>
      <c r="T16" s="276">
        <v>121368.67</v>
      </c>
      <c r="V16" s="280">
        <v>274955.86000000004</v>
      </c>
      <c r="W16" s="280">
        <v>171050.46000000002</v>
      </c>
      <c r="X16" s="280">
        <v>103905.40000000001</v>
      </c>
      <c r="Y16" s="159" t="str">
        <f t="shared" si="0"/>
        <v>OK</v>
      </c>
      <c r="Z16" t="s">
        <v>28</v>
      </c>
      <c r="AA16" s="276">
        <v>171050.46000000002</v>
      </c>
      <c r="AB16" s="276">
        <v>103905.40000000001</v>
      </c>
      <c r="AC16" s="276">
        <v>274955.86000000004</v>
      </c>
    </row>
    <row r="17" spans="1:29" x14ac:dyDescent="0.25">
      <c r="A17" s="16" t="s">
        <v>5</v>
      </c>
      <c r="B17" s="276">
        <v>514369.74000000034</v>
      </c>
      <c r="C17" s="276">
        <v>433683.30000000034</v>
      </c>
      <c r="D17" s="276">
        <v>80686.44</v>
      </c>
      <c r="F17" s="276">
        <v>509060.18000000046</v>
      </c>
      <c r="G17" s="276">
        <v>423825.1800000004</v>
      </c>
      <c r="H17" s="276">
        <v>85235.000000000058</v>
      </c>
      <c r="J17" s="276">
        <v>545791.93000000028</v>
      </c>
      <c r="K17" s="276">
        <v>447194.66000000032</v>
      </c>
      <c r="L17" s="276">
        <v>98597.269999999975</v>
      </c>
      <c r="N17" s="276">
        <v>598778.4999999986</v>
      </c>
      <c r="O17" s="276">
        <v>498481.60999999859</v>
      </c>
      <c r="P17" s="276">
        <v>100296.88999999998</v>
      </c>
      <c r="R17" s="276">
        <v>785833.87</v>
      </c>
      <c r="S17" s="276">
        <v>668943.68000000005</v>
      </c>
      <c r="T17" s="276">
        <v>116890.18999999999</v>
      </c>
      <c r="V17" s="280">
        <v>560904.28000000038</v>
      </c>
      <c r="W17" s="280">
        <v>469966.84000000032</v>
      </c>
      <c r="X17" s="280">
        <v>90937.440000000046</v>
      </c>
      <c r="Y17" s="159" t="str">
        <f t="shared" si="0"/>
        <v>OK</v>
      </c>
      <c r="Z17" t="s">
        <v>5</v>
      </c>
      <c r="AA17" s="276">
        <v>469966.84000000032</v>
      </c>
      <c r="AB17" s="276">
        <v>90937.440000000046</v>
      </c>
      <c r="AC17" s="276">
        <v>560904.28000000038</v>
      </c>
    </row>
    <row r="18" spans="1:29" x14ac:dyDescent="0.25">
      <c r="A18" s="16" t="s">
        <v>21</v>
      </c>
      <c r="B18" s="276">
        <v>10149088.780000187</v>
      </c>
      <c r="C18" s="276">
        <v>4448389.0700000543</v>
      </c>
      <c r="D18" s="276">
        <v>5700699.7100001341</v>
      </c>
      <c r="F18" s="276">
        <v>10457953.470000299</v>
      </c>
      <c r="G18" s="276">
        <v>4434870.5600001197</v>
      </c>
      <c r="H18" s="276">
        <v>6023082.910000179</v>
      </c>
      <c r="J18" s="276">
        <v>11041311.00000022</v>
      </c>
      <c r="K18" s="276">
        <v>4896065.600000063</v>
      </c>
      <c r="L18" s="276">
        <v>6145245.4000001559</v>
      </c>
      <c r="N18" s="276">
        <v>10726639.550000206</v>
      </c>
      <c r="O18" s="276">
        <v>4759654.7100000046</v>
      </c>
      <c r="P18" s="276">
        <v>5966984.840000201</v>
      </c>
      <c r="R18" s="276">
        <v>10519229.700000174</v>
      </c>
      <c r="S18" s="276">
        <v>5200133.3600000311</v>
      </c>
      <c r="T18" s="276">
        <v>5319096.3400001442</v>
      </c>
      <c r="V18" s="280">
        <v>9144639.2500000633</v>
      </c>
      <c r="W18" s="280">
        <v>4382109.1899999995</v>
      </c>
      <c r="X18" s="280">
        <v>4762530.0600000648</v>
      </c>
      <c r="Y18" s="159" t="str">
        <f t="shared" si="0"/>
        <v>OK</v>
      </c>
      <c r="Z18" t="s">
        <v>21</v>
      </c>
      <c r="AA18" s="276">
        <v>4382109.1899999995</v>
      </c>
      <c r="AB18" s="276">
        <v>4762530.0600000648</v>
      </c>
      <c r="AC18" s="276">
        <v>9144639.2500000633</v>
      </c>
    </row>
    <row r="19" spans="1:29" x14ac:dyDescent="0.25">
      <c r="A19" s="16" t="s">
        <v>7</v>
      </c>
      <c r="B19" s="276">
        <v>3503272.7800000268</v>
      </c>
      <c r="C19" s="276">
        <v>2721629.6200000299</v>
      </c>
      <c r="D19" s="276">
        <v>781643.15999999701</v>
      </c>
      <c r="F19" s="276">
        <v>3590915.8600000059</v>
      </c>
      <c r="G19" s="276">
        <v>2645947.4500000067</v>
      </c>
      <c r="H19" s="276">
        <v>944968.40999999898</v>
      </c>
      <c r="J19" s="276">
        <v>3883745.1199999731</v>
      </c>
      <c r="K19" s="276">
        <v>2689107.359999978</v>
      </c>
      <c r="L19" s="276">
        <v>1194637.7599999951</v>
      </c>
      <c r="N19" s="276">
        <v>3417207.1399999922</v>
      </c>
      <c r="O19" s="276">
        <v>2579165.269999994</v>
      </c>
      <c r="P19" s="276">
        <v>838041.86999999813</v>
      </c>
      <c r="R19" s="276">
        <v>3237596.5599999903</v>
      </c>
      <c r="S19" s="276">
        <v>2407996.8499999931</v>
      </c>
      <c r="T19" s="276">
        <v>829599.70999999705</v>
      </c>
      <c r="V19" s="280">
        <v>2606668.5599999959</v>
      </c>
      <c r="W19" s="280">
        <v>1579434.5699999968</v>
      </c>
      <c r="X19" s="280">
        <v>1027233.9899999993</v>
      </c>
      <c r="Y19" s="159" t="str">
        <f t="shared" si="0"/>
        <v>OK</v>
      </c>
      <c r="Z19" t="s">
        <v>7</v>
      </c>
      <c r="AA19" s="276">
        <v>1579434.5699999968</v>
      </c>
      <c r="AB19" s="276">
        <v>1027233.9899999993</v>
      </c>
      <c r="AC19" s="276">
        <v>2606668.5599999959</v>
      </c>
    </row>
    <row r="20" spans="1:29" x14ac:dyDescent="0.25">
      <c r="A20" s="16" t="s">
        <v>6</v>
      </c>
      <c r="B20" s="276">
        <v>117114.51000000001</v>
      </c>
      <c r="C20" s="276">
        <v>61343.639999999985</v>
      </c>
      <c r="D20" s="276">
        <v>55770.870000000017</v>
      </c>
      <c r="F20" s="276">
        <v>117642.30000000002</v>
      </c>
      <c r="G20" s="276">
        <v>69761.270000000019</v>
      </c>
      <c r="H20" s="276">
        <v>47881.03</v>
      </c>
      <c r="J20" s="276">
        <v>89971.400000000023</v>
      </c>
      <c r="K20" s="276">
        <v>49630.480000000025</v>
      </c>
      <c r="L20" s="276">
        <v>40340.92</v>
      </c>
      <c r="N20" s="276">
        <v>98770.799999999988</v>
      </c>
      <c r="O20" s="276">
        <v>44419.610000000008</v>
      </c>
      <c r="P20" s="276">
        <v>54351.189999999973</v>
      </c>
      <c r="R20" s="276">
        <v>94889.479999999952</v>
      </c>
      <c r="S20" s="276">
        <v>50258.519999999953</v>
      </c>
      <c r="T20" s="276">
        <v>44630.96</v>
      </c>
      <c r="V20" s="280">
        <v>81963.229999999981</v>
      </c>
      <c r="W20" s="280">
        <v>35620.55999999999</v>
      </c>
      <c r="X20" s="280">
        <v>46342.669999999984</v>
      </c>
      <c r="Y20" s="159" t="str">
        <f t="shared" si="0"/>
        <v>OK</v>
      </c>
      <c r="Z20" t="s">
        <v>6</v>
      </c>
      <c r="AA20" s="276">
        <v>35620.55999999999</v>
      </c>
      <c r="AB20" s="276">
        <v>46342.669999999984</v>
      </c>
      <c r="AC20" s="276">
        <v>81963.229999999981</v>
      </c>
    </row>
    <row r="21" spans="1:29" x14ac:dyDescent="0.25">
      <c r="A21" s="16" t="s">
        <v>29</v>
      </c>
      <c r="B21" s="276">
        <v>361108.11000000016</v>
      </c>
      <c r="C21" s="276">
        <v>323230.28000000014</v>
      </c>
      <c r="D21" s="276">
        <v>37877.829999999994</v>
      </c>
      <c r="F21" s="276">
        <v>373646.01999999996</v>
      </c>
      <c r="G21" s="276">
        <v>341475.43999999994</v>
      </c>
      <c r="H21" s="276">
        <v>32170.580000000009</v>
      </c>
      <c r="J21" s="276">
        <v>420605.81000000006</v>
      </c>
      <c r="K21" s="276">
        <v>382099.84000000008</v>
      </c>
      <c r="L21" s="276">
        <v>38505.97</v>
      </c>
      <c r="N21" s="276">
        <v>564591.1599999998</v>
      </c>
      <c r="O21" s="276">
        <v>522881.4699999998</v>
      </c>
      <c r="P21" s="276">
        <v>41709.69000000001</v>
      </c>
      <c r="R21" s="276">
        <v>704554.6600000005</v>
      </c>
      <c r="S21" s="276">
        <v>658908.65000000049</v>
      </c>
      <c r="T21" s="276">
        <v>45646.009999999987</v>
      </c>
      <c r="V21" s="280">
        <v>486266.62999999983</v>
      </c>
      <c r="W21" s="280">
        <v>461556.37999999983</v>
      </c>
      <c r="X21" s="280">
        <v>24710.249999999996</v>
      </c>
      <c r="Y21" s="159" t="str">
        <f t="shared" si="0"/>
        <v>OK</v>
      </c>
      <c r="Z21" t="s">
        <v>29</v>
      </c>
      <c r="AA21" s="276">
        <v>461556.37999999983</v>
      </c>
      <c r="AB21" s="276">
        <v>24710.249999999996</v>
      </c>
      <c r="AC21" s="276">
        <v>486266.62999999983</v>
      </c>
    </row>
    <row r="22" spans="1:29" x14ac:dyDescent="0.25">
      <c r="A22" s="16" t="s">
        <v>8</v>
      </c>
      <c r="B22" s="276">
        <v>1777103.2699999935</v>
      </c>
      <c r="C22" s="276">
        <v>1316510.7799999951</v>
      </c>
      <c r="D22" s="276">
        <v>460592.4899999983</v>
      </c>
      <c r="F22" s="276">
        <v>1872686.7499999874</v>
      </c>
      <c r="G22" s="276">
        <v>1440983.9999999886</v>
      </c>
      <c r="H22" s="276">
        <v>431702.74999999889</v>
      </c>
      <c r="J22" s="276">
        <v>1672215.1499999906</v>
      </c>
      <c r="K22" s="276">
        <v>1287873.6599999922</v>
      </c>
      <c r="L22" s="276">
        <v>384341.48999999848</v>
      </c>
      <c r="N22" s="276">
        <v>1852580.4899999977</v>
      </c>
      <c r="O22" s="276">
        <v>1432444.2199999986</v>
      </c>
      <c r="P22" s="276">
        <v>420136.26999999903</v>
      </c>
      <c r="R22" s="276">
        <v>1779156.4099999964</v>
      </c>
      <c r="S22" s="276">
        <v>1417299.9899999979</v>
      </c>
      <c r="T22" s="276">
        <v>361856.41999999841</v>
      </c>
      <c r="V22" s="280">
        <v>1343954.4200000002</v>
      </c>
      <c r="W22" s="280">
        <v>1003419.7300000014</v>
      </c>
      <c r="X22" s="280">
        <v>340534.68999999872</v>
      </c>
      <c r="Y22" s="159" t="str">
        <f t="shared" si="0"/>
        <v>OK</v>
      </c>
      <c r="Z22" t="s">
        <v>8</v>
      </c>
      <c r="AA22" s="276">
        <v>1003419.7300000014</v>
      </c>
      <c r="AB22" s="276">
        <v>340534.68999999872</v>
      </c>
      <c r="AC22" s="276">
        <v>1343954.4200000002</v>
      </c>
    </row>
    <row r="23" spans="1:29" x14ac:dyDescent="0.25">
      <c r="A23" s="16" t="s">
        <v>9</v>
      </c>
      <c r="B23" s="276">
        <v>506114.78000000096</v>
      </c>
      <c r="C23" s="276">
        <v>314256.14000000089</v>
      </c>
      <c r="D23" s="276">
        <v>191858.64000000007</v>
      </c>
      <c r="F23" s="276">
        <v>491198.76000000018</v>
      </c>
      <c r="G23" s="276">
        <v>338266.67000000033</v>
      </c>
      <c r="H23" s="276">
        <v>152932.08999999985</v>
      </c>
      <c r="J23" s="276">
        <v>494377.86000000167</v>
      </c>
      <c r="K23" s="276">
        <v>367556.80000000156</v>
      </c>
      <c r="L23" s="276">
        <v>126821.06000000011</v>
      </c>
      <c r="N23" s="276">
        <v>601091.68000000028</v>
      </c>
      <c r="O23" s="276">
        <v>404705.22000000032</v>
      </c>
      <c r="P23" s="276">
        <v>196386.45999999996</v>
      </c>
      <c r="R23" s="276">
        <v>534460.24999999988</v>
      </c>
      <c r="S23" s="276">
        <v>335788.00999999995</v>
      </c>
      <c r="T23" s="276">
        <v>198672.23999999993</v>
      </c>
      <c r="V23" s="280">
        <v>508376.31000000006</v>
      </c>
      <c r="W23" s="280">
        <v>343512.55</v>
      </c>
      <c r="X23" s="280">
        <v>164863.76000000004</v>
      </c>
      <c r="Y23" s="159" t="str">
        <f t="shared" si="0"/>
        <v>OK</v>
      </c>
      <c r="Z23" t="s">
        <v>9</v>
      </c>
      <c r="AA23" s="276">
        <v>343512.55</v>
      </c>
      <c r="AB23" s="276">
        <v>164863.76000000004</v>
      </c>
      <c r="AC23" s="276">
        <v>508376.31000000006</v>
      </c>
    </row>
    <row r="24" spans="1:29" x14ac:dyDescent="0.25">
      <c r="A24" s="16" t="s">
        <v>23</v>
      </c>
      <c r="B24" s="276">
        <v>32441055.669998825</v>
      </c>
      <c r="C24" s="276">
        <v>22062584.469998449</v>
      </c>
      <c r="D24" s="276">
        <v>10378471.200000376</v>
      </c>
      <c r="F24" s="276">
        <v>34291742.419998504</v>
      </c>
      <c r="G24" s="276">
        <v>23050609.239998266</v>
      </c>
      <c r="H24" s="276">
        <v>11241133.180000238</v>
      </c>
      <c r="J24" s="276">
        <v>35231344.759998679</v>
      </c>
      <c r="K24" s="276">
        <v>23700775.759998444</v>
      </c>
      <c r="L24" s="276">
        <v>11530569.000000233</v>
      </c>
      <c r="N24" s="276">
        <v>36279102.290000372</v>
      </c>
      <c r="O24" s="276">
        <v>24971822.589999948</v>
      </c>
      <c r="P24" s="276">
        <v>11307279.700000426</v>
      </c>
      <c r="R24" s="276">
        <v>37779778.430000216</v>
      </c>
      <c r="S24" s="276">
        <v>25951778.869999792</v>
      </c>
      <c r="T24" s="276">
        <v>11827999.56000042</v>
      </c>
      <c r="V24" s="280">
        <v>28838792.290000174</v>
      </c>
      <c r="W24" s="280">
        <v>18150806.87999985</v>
      </c>
      <c r="X24" s="280">
        <v>10687985.410000324</v>
      </c>
      <c r="Y24" s="159" t="str">
        <f t="shared" si="0"/>
        <v>OK</v>
      </c>
      <c r="Z24" t="s">
        <v>23</v>
      </c>
      <c r="AA24" s="276">
        <v>18150806.87999985</v>
      </c>
      <c r="AB24" s="276">
        <v>10687985.410000324</v>
      </c>
      <c r="AC24" s="276">
        <v>28838792.290000174</v>
      </c>
    </row>
    <row r="25" spans="1:29" x14ac:dyDescent="0.25">
      <c r="A25" s="16" t="s">
        <v>24</v>
      </c>
      <c r="B25" s="276">
        <v>3179.7100000000005</v>
      </c>
      <c r="C25" s="276">
        <v>3127.4900000000007</v>
      </c>
      <c r="D25" s="276">
        <v>52.22</v>
      </c>
      <c r="F25" s="276">
        <v>999.67000000000007</v>
      </c>
      <c r="G25" s="276">
        <v>807.68000000000006</v>
      </c>
      <c r="H25" s="276">
        <v>191.99</v>
      </c>
      <c r="J25" s="276">
        <v>2803.9900000000002</v>
      </c>
      <c r="K25" s="276">
        <v>2782.8100000000004</v>
      </c>
      <c r="L25" s="276">
        <v>21.18</v>
      </c>
      <c r="N25" s="276">
        <v>470.71000000000004</v>
      </c>
      <c r="O25" s="276">
        <v>448.68</v>
      </c>
      <c r="P25" s="276">
        <v>22.03</v>
      </c>
      <c r="R25" s="276">
        <v>1373.1799999999998</v>
      </c>
      <c r="S25" s="276">
        <v>480.79999999999995</v>
      </c>
      <c r="T25" s="276">
        <v>892.38</v>
      </c>
      <c r="V25" s="280">
        <v>637.34999999999991</v>
      </c>
      <c r="W25" s="280">
        <v>324.39999999999998</v>
      </c>
      <c r="X25" s="280">
        <v>312.95</v>
      </c>
      <c r="Y25" s="159" t="str">
        <f t="shared" si="0"/>
        <v>OK</v>
      </c>
      <c r="Z25" t="s">
        <v>24</v>
      </c>
      <c r="AA25" s="276">
        <v>324.39999999999998</v>
      </c>
      <c r="AB25" s="276">
        <v>312.95</v>
      </c>
      <c r="AC25" s="276">
        <v>637.34999999999991</v>
      </c>
    </row>
    <row r="26" spans="1:29" x14ac:dyDescent="0.25">
      <c r="A26" s="16" t="s">
        <v>33</v>
      </c>
      <c r="B26" s="276">
        <v>67207.070000000007</v>
      </c>
      <c r="C26" s="276">
        <v>19439.329999999998</v>
      </c>
      <c r="D26" s="276">
        <v>47767.740000000013</v>
      </c>
      <c r="F26" s="276">
        <v>71516.62</v>
      </c>
      <c r="G26" s="276">
        <v>15962.35</v>
      </c>
      <c r="H26" s="276">
        <v>55554.27</v>
      </c>
      <c r="J26" s="276">
        <v>37781.17</v>
      </c>
      <c r="K26" s="276">
        <v>17657.669999999998</v>
      </c>
      <c r="L26" s="276">
        <v>20123.500000000004</v>
      </c>
      <c r="N26" s="276">
        <v>39859.57</v>
      </c>
      <c r="O26" s="276">
        <v>13814.599999999999</v>
      </c>
      <c r="P26" s="276">
        <v>26044.97</v>
      </c>
      <c r="R26" s="276">
        <v>36150.920000000006</v>
      </c>
      <c r="S26" s="276">
        <v>21176.260000000002</v>
      </c>
      <c r="T26" s="276">
        <v>14974.660000000002</v>
      </c>
      <c r="V26" s="280">
        <v>48196.549999999988</v>
      </c>
      <c r="W26" s="280">
        <v>24234.209999999992</v>
      </c>
      <c r="X26" s="280">
        <v>23962.34</v>
      </c>
      <c r="Y26" s="159" t="str">
        <f t="shared" si="0"/>
        <v>OK</v>
      </c>
      <c r="Z26" t="s">
        <v>33</v>
      </c>
      <c r="AA26" s="276">
        <v>24234.209999999992</v>
      </c>
      <c r="AB26" s="276">
        <v>23962.34</v>
      </c>
      <c r="AC26" s="276">
        <v>48196.549999999988</v>
      </c>
    </row>
    <row r="27" spans="1:29" x14ac:dyDescent="0.25">
      <c r="A27" s="16" t="s">
        <v>10</v>
      </c>
      <c r="B27" s="276">
        <v>398377.88999999966</v>
      </c>
      <c r="C27" s="276">
        <v>279633.48999999958</v>
      </c>
      <c r="D27" s="276">
        <v>118744.40000000008</v>
      </c>
      <c r="F27" s="276">
        <v>499396.41000000003</v>
      </c>
      <c r="G27" s="276">
        <v>361589.27000000025</v>
      </c>
      <c r="H27" s="276">
        <v>137807.13999999978</v>
      </c>
      <c r="J27" s="276">
        <v>423869.87999999977</v>
      </c>
      <c r="K27" s="276">
        <v>293398.50999999978</v>
      </c>
      <c r="L27" s="276">
        <v>130471.37</v>
      </c>
      <c r="N27" s="276">
        <v>376018.2100000002</v>
      </c>
      <c r="O27" s="276">
        <v>274326.41000000021</v>
      </c>
      <c r="P27" s="276">
        <v>101691.80000000002</v>
      </c>
      <c r="R27" s="276">
        <v>445292.95000000013</v>
      </c>
      <c r="S27" s="276">
        <v>325830.28000000014</v>
      </c>
      <c r="T27" s="276">
        <v>119462.66999999997</v>
      </c>
      <c r="V27" s="280">
        <v>355962.01000000018</v>
      </c>
      <c r="W27" s="280">
        <v>227846.28000000006</v>
      </c>
      <c r="X27" s="280">
        <v>128115.73000000014</v>
      </c>
      <c r="Y27" s="159" t="str">
        <f t="shared" si="0"/>
        <v>OK</v>
      </c>
      <c r="Z27" t="s">
        <v>10</v>
      </c>
      <c r="AA27" s="276">
        <v>227846.28000000006</v>
      </c>
      <c r="AB27" s="276">
        <v>128115.73000000014</v>
      </c>
      <c r="AC27" s="276">
        <v>355962.01000000018</v>
      </c>
    </row>
    <row r="28" spans="1:29" x14ac:dyDescent="0.25">
      <c r="A28" s="16" t="s">
        <v>358</v>
      </c>
      <c r="B28" s="276">
        <v>6438491.4400000274</v>
      </c>
      <c r="C28" s="276">
        <v>5135744.0000000382</v>
      </c>
      <c r="D28" s="276">
        <v>1302747.4399999892</v>
      </c>
      <c r="F28" s="276">
        <v>6719029.1600000374</v>
      </c>
      <c r="G28" s="276">
        <v>5326185.9600000475</v>
      </c>
      <c r="H28" s="276">
        <v>1392843.1999999904</v>
      </c>
      <c r="J28" s="276">
        <v>7140059.3700000485</v>
      </c>
      <c r="K28" s="276">
        <v>5681293.4000000544</v>
      </c>
      <c r="L28" s="276">
        <v>1458765.9699999942</v>
      </c>
      <c r="N28" s="276">
        <v>7498797.5899999738</v>
      </c>
      <c r="O28" s="276">
        <v>6003290.1199999833</v>
      </c>
      <c r="P28" s="276">
        <v>1495507.4699999907</v>
      </c>
      <c r="R28" s="276">
        <v>7767975.189999993</v>
      </c>
      <c r="S28" s="276">
        <v>6240894.900000005</v>
      </c>
      <c r="T28" s="276">
        <v>1527080.2899999877</v>
      </c>
      <c r="V28" s="280">
        <v>5283620.6899999939</v>
      </c>
      <c r="W28" s="280">
        <v>3970762.2900000066</v>
      </c>
      <c r="X28" s="280">
        <v>1312858.3999999876</v>
      </c>
      <c r="Y28" s="159" t="str">
        <f t="shared" si="0"/>
        <v>OK</v>
      </c>
      <c r="Z28" t="s">
        <v>358</v>
      </c>
      <c r="AA28" s="276">
        <v>3970762.2900000066</v>
      </c>
      <c r="AB28" s="276">
        <v>1312858.3999999876</v>
      </c>
      <c r="AC28" s="276">
        <v>5283620.6899999939</v>
      </c>
    </row>
    <row r="29" spans="1:29" x14ac:dyDescent="0.25">
      <c r="A29" s="16" t="s">
        <v>190</v>
      </c>
      <c r="B29" s="276">
        <v>1346653.3299999957</v>
      </c>
      <c r="C29" s="276">
        <v>1051744.6799999957</v>
      </c>
      <c r="D29" s="276">
        <v>294908.64999999997</v>
      </c>
      <c r="F29" s="276">
        <v>1262278.8499999975</v>
      </c>
      <c r="G29" s="276">
        <v>989129.85999999754</v>
      </c>
      <c r="H29" s="276">
        <v>273148.99</v>
      </c>
      <c r="J29" s="276">
        <v>1336519.8600000003</v>
      </c>
      <c r="K29" s="276">
        <v>1029086.8200000006</v>
      </c>
      <c r="L29" s="276">
        <v>307433.03999999975</v>
      </c>
      <c r="N29" s="276">
        <v>1399198.19</v>
      </c>
      <c r="O29" s="276">
        <v>1045112.2799999997</v>
      </c>
      <c r="P29" s="276">
        <v>354085.91000000027</v>
      </c>
      <c r="R29" s="276">
        <v>1505502.4899999979</v>
      </c>
      <c r="S29" s="276">
        <v>1139356.2899999977</v>
      </c>
      <c r="T29" s="276">
        <v>366146.20000000013</v>
      </c>
      <c r="V29" s="280">
        <v>1105045.8499999994</v>
      </c>
      <c r="W29" s="280">
        <v>784546.8199999996</v>
      </c>
      <c r="X29" s="280">
        <v>320499.02999999974</v>
      </c>
      <c r="Y29" s="159" t="str">
        <f t="shared" si="0"/>
        <v>OK</v>
      </c>
      <c r="Z29" t="s">
        <v>190</v>
      </c>
      <c r="AA29" s="276">
        <v>784546.8199999996</v>
      </c>
      <c r="AB29" s="276">
        <v>320499.02999999974</v>
      </c>
      <c r="AC29" s="276">
        <v>1105045.8499999994</v>
      </c>
    </row>
    <row r="30" spans="1:29" x14ac:dyDescent="0.25">
      <c r="A30" s="16" t="s">
        <v>11</v>
      </c>
      <c r="B30" s="276">
        <v>1547295.3399999943</v>
      </c>
      <c r="C30" s="276">
        <v>1049577.2899999947</v>
      </c>
      <c r="D30" s="276">
        <v>497718.04999999958</v>
      </c>
      <c r="F30" s="276">
        <v>1849893.6199999913</v>
      </c>
      <c r="G30" s="276">
        <v>1259277.8499999919</v>
      </c>
      <c r="H30" s="276">
        <v>590615.76999999944</v>
      </c>
      <c r="J30" s="276">
        <v>1726247.7499999986</v>
      </c>
      <c r="K30" s="276">
        <v>1195656.8899999987</v>
      </c>
      <c r="L30" s="276">
        <v>530590.85999999975</v>
      </c>
      <c r="N30" s="276">
        <v>1717474.6599999983</v>
      </c>
      <c r="O30" s="276">
        <v>1194167.4799999986</v>
      </c>
      <c r="P30" s="276">
        <v>523307.17999999959</v>
      </c>
      <c r="R30" s="276">
        <v>2021902.370000002</v>
      </c>
      <c r="S30" s="276">
        <v>1407458.1900000016</v>
      </c>
      <c r="T30" s="276">
        <v>614444.1800000004</v>
      </c>
      <c r="V30" s="280">
        <v>1582623.2200000004</v>
      </c>
      <c r="W30" s="280">
        <v>1005225.3600000008</v>
      </c>
      <c r="X30" s="280">
        <v>577397.85999999964</v>
      </c>
      <c r="Y30" s="159" t="str">
        <f t="shared" si="0"/>
        <v>OK</v>
      </c>
      <c r="Z30" t="s">
        <v>11</v>
      </c>
      <c r="AA30" s="276">
        <v>1005225.3600000008</v>
      </c>
      <c r="AB30" s="276">
        <v>577397.85999999964</v>
      </c>
      <c r="AC30" s="276">
        <v>1582623.2200000004</v>
      </c>
    </row>
    <row r="31" spans="1:29" x14ac:dyDescent="0.25">
      <c r="A31" s="16" t="s">
        <v>12</v>
      </c>
      <c r="B31" s="276">
        <v>1065275.5299999989</v>
      </c>
      <c r="C31" s="276">
        <v>806800.46999999892</v>
      </c>
      <c r="D31" s="276">
        <v>258475.06000000006</v>
      </c>
      <c r="F31" s="276">
        <v>904695.8699999972</v>
      </c>
      <c r="G31" s="276">
        <v>736077.13999999734</v>
      </c>
      <c r="H31" s="276">
        <v>168618.72999999989</v>
      </c>
      <c r="J31" s="276">
        <v>1110726.6300000011</v>
      </c>
      <c r="K31" s="276">
        <v>947594.76000000094</v>
      </c>
      <c r="L31" s="276">
        <v>163131.87000000011</v>
      </c>
      <c r="N31" s="276">
        <v>1518994.4399999995</v>
      </c>
      <c r="O31" s="276">
        <v>1310457.1199999994</v>
      </c>
      <c r="P31" s="276">
        <v>208537.32000000018</v>
      </c>
      <c r="R31" s="276">
        <v>1255194.7799999989</v>
      </c>
      <c r="S31" s="276">
        <v>1067963.1299999983</v>
      </c>
      <c r="T31" s="276">
        <v>187231.65000000058</v>
      </c>
      <c r="V31" s="280">
        <v>1122702.1699999997</v>
      </c>
      <c r="W31" s="280">
        <v>921165.78999999957</v>
      </c>
      <c r="X31" s="280">
        <v>201536.38000000015</v>
      </c>
      <c r="Y31" s="159" t="str">
        <f t="shared" si="0"/>
        <v>OK</v>
      </c>
      <c r="Z31" t="s">
        <v>12</v>
      </c>
      <c r="AA31" s="276">
        <v>921165.78999999957</v>
      </c>
      <c r="AB31" s="276">
        <v>201536.38000000015</v>
      </c>
      <c r="AC31" s="276">
        <v>1122702.1699999997</v>
      </c>
    </row>
    <row r="32" spans="1:29" x14ac:dyDescent="0.25">
      <c r="A32" s="16" t="s">
        <v>13</v>
      </c>
      <c r="B32" s="276">
        <v>927106.40000000049</v>
      </c>
      <c r="C32" s="276">
        <v>664969.12000000046</v>
      </c>
      <c r="D32" s="276">
        <v>262137.28000000006</v>
      </c>
      <c r="F32" s="276">
        <v>990682.46999999939</v>
      </c>
      <c r="G32" s="276">
        <v>773252.40999999933</v>
      </c>
      <c r="H32" s="276">
        <v>217430.06000000008</v>
      </c>
      <c r="J32" s="276">
        <v>933398.4999999993</v>
      </c>
      <c r="K32" s="276">
        <v>737786.96999999916</v>
      </c>
      <c r="L32" s="276">
        <v>195611.53000000014</v>
      </c>
      <c r="N32" s="276">
        <v>1039063.3499999996</v>
      </c>
      <c r="O32" s="276">
        <v>820576.94999999972</v>
      </c>
      <c r="P32" s="276">
        <v>218486.39999999988</v>
      </c>
      <c r="R32" s="276">
        <v>1272501.03</v>
      </c>
      <c r="S32" s="276">
        <v>954650.25000000012</v>
      </c>
      <c r="T32" s="276">
        <v>317850.77999999985</v>
      </c>
      <c r="V32" s="280">
        <v>1033026.7099999997</v>
      </c>
      <c r="W32" s="280">
        <v>702531.68999999983</v>
      </c>
      <c r="X32" s="280">
        <v>330495.01999999996</v>
      </c>
      <c r="Y32" s="159" t="str">
        <f t="shared" si="0"/>
        <v>OK</v>
      </c>
      <c r="Z32" t="s">
        <v>13</v>
      </c>
      <c r="AA32" s="276">
        <v>702531.68999999983</v>
      </c>
      <c r="AB32" s="276">
        <v>330495.01999999996</v>
      </c>
      <c r="AC32" s="276">
        <v>1033026.7099999997</v>
      </c>
    </row>
    <row r="33" spans="1:29" x14ac:dyDescent="0.25">
      <c r="A33" s="16" t="s">
        <v>14</v>
      </c>
      <c r="B33" s="276">
        <v>606087.16000000096</v>
      </c>
      <c r="C33" s="276">
        <v>427104.73000000103</v>
      </c>
      <c r="D33" s="276">
        <v>178982.42999999993</v>
      </c>
      <c r="F33" s="276">
        <v>630996.41000000143</v>
      </c>
      <c r="G33" s="276">
        <v>440988.78000000142</v>
      </c>
      <c r="H33" s="276">
        <v>190007.63</v>
      </c>
      <c r="J33" s="276">
        <v>667802.38000000012</v>
      </c>
      <c r="K33" s="276">
        <v>480826.07</v>
      </c>
      <c r="L33" s="276">
        <v>186976.31000000017</v>
      </c>
      <c r="N33" s="276">
        <v>593643.18999999866</v>
      </c>
      <c r="O33" s="276">
        <v>398829.90999999869</v>
      </c>
      <c r="P33" s="276">
        <v>194813.27999999994</v>
      </c>
      <c r="R33" s="276">
        <v>658105.24999999953</v>
      </c>
      <c r="S33" s="276">
        <v>432782.44999999943</v>
      </c>
      <c r="T33" s="276">
        <v>225322.80000000008</v>
      </c>
      <c r="V33" s="280">
        <v>416676.96000000014</v>
      </c>
      <c r="W33" s="280">
        <v>267132.94000000012</v>
      </c>
      <c r="X33" s="280">
        <v>149544.02000000002</v>
      </c>
      <c r="Y33" s="159" t="str">
        <f t="shared" si="0"/>
        <v>OK</v>
      </c>
      <c r="Z33" t="s">
        <v>14</v>
      </c>
      <c r="AA33" s="276">
        <v>267132.94000000012</v>
      </c>
      <c r="AB33" s="276">
        <v>149544.02000000002</v>
      </c>
      <c r="AC33" s="276">
        <v>416676.96000000014</v>
      </c>
    </row>
    <row r="34" spans="1:29" x14ac:dyDescent="0.25">
      <c r="A34" s="16" t="s">
        <v>15</v>
      </c>
      <c r="B34" s="276">
        <v>1527431.6099999971</v>
      </c>
      <c r="C34" s="276">
        <v>850683.91999999818</v>
      </c>
      <c r="D34" s="276">
        <v>676747.68999999901</v>
      </c>
      <c r="F34" s="276">
        <v>1693944.6899999972</v>
      </c>
      <c r="G34" s="276">
        <v>977761.98999999824</v>
      </c>
      <c r="H34" s="276">
        <v>716182.69999999891</v>
      </c>
      <c r="J34" s="276">
        <v>1306880.9599999995</v>
      </c>
      <c r="K34" s="276">
        <v>931704.49999999965</v>
      </c>
      <c r="L34" s="276">
        <v>375176.4599999999</v>
      </c>
      <c r="N34" s="276">
        <v>1641296.7200000004</v>
      </c>
      <c r="O34" s="276">
        <v>1196836.8500000006</v>
      </c>
      <c r="P34" s="276">
        <v>444459.86999999994</v>
      </c>
      <c r="R34" s="276">
        <v>1455487.1599999978</v>
      </c>
      <c r="S34" s="276">
        <v>970994.51999999781</v>
      </c>
      <c r="T34" s="276">
        <v>484492.63999999996</v>
      </c>
      <c r="V34" s="280">
        <v>1173810.8700000003</v>
      </c>
      <c r="W34" s="280">
        <v>767247.8800000007</v>
      </c>
      <c r="X34" s="280">
        <v>406562.98999999964</v>
      </c>
      <c r="Y34" s="159" t="str">
        <f t="shared" si="0"/>
        <v>No</v>
      </c>
      <c r="Z34" t="s">
        <v>359</v>
      </c>
      <c r="AA34" s="276">
        <v>767247.8800000007</v>
      </c>
      <c r="AB34" s="276">
        <v>406562.98999999964</v>
      </c>
      <c r="AC34" s="276">
        <v>1173810.8700000003</v>
      </c>
    </row>
    <row r="35" spans="1:29" x14ac:dyDescent="0.25">
      <c r="A35" s="16" t="s">
        <v>16</v>
      </c>
      <c r="B35" s="276">
        <v>809645.18999999959</v>
      </c>
      <c r="C35" s="276">
        <v>657919.59999999939</v>
      </c>
      <c r="D35" s="276">
        <v>151725.59000000017</v>
      </c>
      <c r="F35" s="276">
        <v>924515.4600000002</v>
      </c>
      <c r="G35" s="276">
        <v>706266.23000000021</v>
      </c>
      <c r="H35" s="276">
        <v>218249.23000000004</v>
      </c>
      <c r="J35" s="276">
        <v>972615.50000000035</v>
      </c>
      <c r="K35" s="276">
        <v>760299.56000000041</v>
      </c>
      <c r="L35" s="276">
        <v>212315.93999999997</v>
      </c>
      <c r="N35" s="276">
        <v>1073727.860000001</v>
      </c>
      <c r="O35" s="276">
        <v>829217.11000000068</v>
      </c>
      <c r="P35" s="276">
        <v>244510.75000000038</v>
      </c>
      <c r="R35" s="276">
        <v>1135273.4799999986</v>
      </c>
      <c r="S35" s="276">
        <v>842423.12999999814</v>
      </c>
      <c r="T35" s="276">
        <v>292850.35000000033</v>
      </c>
      <c r="V35" s="280">
        <v>906485.95999999926</v>
      </c>
      <c r="W35" s="280">
        <v>606656.34999999928</v>
      </c>
      <c r="X35" s="280">
        <v>299829.61</v>
      </c>
      <c r="Y35" s="159" t="str">
        <f t="shared" si="0"/>
        <v>OK</v>
      </c>
      <c r="Z35" t="s">
        <v>16</v>
      </c>
      <c r="AA35" s="276">
        <v>606656.34999999928</v>
      </c>
      <c r="AB35" s="276">
        <v>299829.61</v>
      </c>
      <c r="AC35" s="276">
        <v>906485.95999999926</v>
      </c>
    </row>
    <row r="36" spans="1:29" x14ac:dyDescent="0.25">
      <c r="A36" s="16" t="s">
        <v>17</v>
      </c>
      <c r="B36" s="276">
        <v>3600104.7000000258</v>
      </c>
      <c r="C36" s="276">
        <v>2790430.9100000262</v>
      </c>
      <c r="D36" s="276">
        <v>809673.78999999946</v>
      </c>
      <c r="F36" s="276">
        <v>3639942.76</v>
      </c>
      <c r="G36" s="276">
        <v>2699087.8000000017</v>
      </c>
      <c r="H36" s="276">
        <v>940854.95999999787</v>
      </c>
      <c r="J36" s="276">
        <v>3734081.9399999771</v>
      </c>
      <c r="K36" s="276">
        <v>2786507.7799999807</v>
      </c>
      <c r="L36" s="276">
        <v>947574.15999999666</v>
      </c>
      <c r="N36" s="276">
        <v>3683235.6399999829</v>
      </c>
      <c r="O36" s="276">
        <v>2754627.9099999857</v>
      </c>
      <c r="P36" s="276">
        <v>928607.72999999695</v>
      </c>
      <c r="R36" s="276">
        <v>3762367.2399999946</v>
      </c>
      <c r="S36" s="276">
        <v>2841328.0799999973</v>
      </c>
      <c r="T36" s="276">
        <v>921039.15999999747</v>
      </c>
      <c r="V36" s="280">
        <v>2918299.8100000028</v>
      </c>
      <c r="W36" s="280">
        <v>2120500.9600000056</v>
      </c>
      <c r="X36" s="280">
        <v>797798.84999999718</v>
      </c>
      <c r="Y36" s="159" t="str">
        <f t="shared" si="0"/>
        <v>OK</v>
      </c>
      <c r="Z36" t="s">
        <v>17</v>
      </c>
      <c r="AA36" s="276">
        <v>2120500.9600000056</v>
      </c>
      <c r="AB36" s="276">
        <v>797798.84999999718</v>
      </c>
      <c r="AC36" s="276">
        <v>2918299.8100000028</v>
      </c>
    </row>
    <row r="37" spans="1:29" x14ac:dyDescent="0.25">
      <c r="A37" s="16" t="s">
        <v>18</v>
      </c>
      <c r="B37" s="276">
        <v>767622.91999999946</v>
      </c>
      <c r="C37" s="276">
        <v>581864.66999999958</v>
      </c>
      <c r="D37" s="276">
        <v>185758.24999999988</v>
      </c>
      <c r="F37" s="276">
        <v>820595.43000000028</v>
      </c>
      <c r="G37" s="276">
        <v>582765.99</v>
      </c>
      <c r="H37" s="276">
        <v>237829.44000000029</v>
      </c>
      <c r="J37" s="276">
        <v>837725.40000000154</v>
      </c>
      <c r="K37" s="276">
        <v>650505.03000000166</v>
      </c>
      <c r="L37" s="276">
        <v>187220.36999999994</v>
      </c>
      <c r="N37" s="276">
        <v>1042649.6700000011</v>
      </c>
      <c r="O37" s="276">
        <v>782349.63000000117</v>
      </c>
      <c r="P37" s="276">
        <v>260300.03999999992</v>
      </c>
      <c r="R37" s="276">
        <v>1176834.9500000009</v>
      </c>
      <c r="S37" s="276">
        <v>817975.06000000099</v>
      </c>
      <c r="T37" s="276">
        <v>358859.88999999984</v>
      </c>
      <c r="V37" s="280">
        <v>905228.74000000115</v>
      </c>
      <c r="W37" s="280">
        <v>532028.60000000079</v>
      </c>
      <c r="X37" s="280">
        <v>373200.14000000036</v>
      </c>
      <c r="Y37" s="159" t="str">
        <f t="shared" si="0"/>
        <v>OK</v>
      </c>
      <c r="Z37" t="s">
        <v>18</v>
      </c>
      <c r="AA37" s="276">
        <v>532028.60000000079</v>
      </c>
      <c r="AB37" s="276">
        <v>373200.14000000036</v>
      </c>
      <c r="AC37" s="276">
        <v>905228.74000000115</v>
      </c>
    </row>
    <row r="38" spans="1:29" x14ac:dyDescent="0.25">
      <c r="A38" s="16" t="s">
        <v>360</v>
      </c>
      <c r="B38" s="276">
        <v>29467.019999999997</v>
      </c>
      <c r="C38" s="276">
        <v>18186.02</v>
      </c>
      <c r="D38" s="276">
        <v>11280.999999999996</v>
      </c>
      <c r="F38" s="276">
        <v>42472.690000000031</v>
      </c>
      <c r="G38" s="276">
        <v>23199.900000000012</v>
      </c>
      <c r="H38" s="276">
        <v>19272.790000000019</v>
      </c>
      <c r="J38" s="276">
        <v>48046.89</v>
      </c>
      <c r="K38" s="276">
        <v>25428.179999999989</v>
      </c>
      <c r="L38" s="276">
        <v>22618.710000000014</v>
      </c>
      <c r="N38" s="276">
        <v>67124.789999999979</v>
      </c>
      <c r="O38" s="276">
        <v>44067.559999999976</v>
      </c>
      <c r="P38" s="276">
        <v>23057.23</v>
      </c>
      <c r="R38" s="276">
        <v>74871.580000000016</v>
      </c>
      <c r="S38" s="276">
        <v>36963.230000000003</v>
      </c>
      <c r="T38" s="276">
        <v>37908.350000000006</v>
      </c>
      <c r="V38" s="280">
        <v>73948.389999999985</v>
      </c>
      <c r="W38" s="280">
        <v>48674.869999999995</v>
      </c>
      <c r="X38" s="280">
        <v>25273.519999999997</v>
      </c>
      <c r="Y38" s="159" t="str">
        <f t="shared" si="0"/>
        <v>OK</v>
      </c>
      <c r="Z38" t="s">
        <v>360</v>
      </c>
      <c r="AA38" s="276">
        <v>48674.869999999995</v>
      </c>
      <c r="AB38" s="276">
        <v>25273.519999999997</v>
      </c>
      <c r="AC38" s="276">
        <v>73948.389999999985</v>
      </c>
    </row>
    <row r="39" spans="1:29" x14ac:dyDescent="0.25">
      <c r="A39" s="16" t="s">
        <v>19</v>
      </c>
      <c r="B39" s="276">
        <v>986508.44999999949</v>
      </c>
      <c r="C39" s="276">
        <v>457957.22999999992</v>
      </c>
      <c r="D39" s="276">
        <v>528551.21999999962</v>
      </c>
      <c r="F39" s="276">
        <v>1037907.9699999989</v>
      </c>
      <c r="G39" s="276">
        <v>510655.36999999941</v>
      </c>
      <c r="H39" s="276">
        <v>527252.59999999951</v>
      </c>
      <c r="J39" s="276">
        <v>1125698.5100000012</v>
      </c>
      <c r="K39" s="276">
        <v>620681.37000000034</v>
      </c>
      <c r="L39" s="276">
        <v>505017.14000000083</v>
      </c>
      <c r="N39" s="276">
        <v>1163237.1599999995</v>
      </c>
      <c r="O39" s="276">
        <v>602378.28999999992</v>
      </c>
      <c r="P39" s="276">
        <v>560858.86999999953</v>
      </c>
      <c r="R39" s="276">
        <v>1209653.3499999994</v>
      </c>
      <c r="S39" s="276">
        <v>697023.86999999953</v>
      </c>
      <c r="T39" s="276">
        <v>512629.47999999992</v>
      </c>
      <c r="V39" s="280">
        <v>991539.29999999935</v>
      </c>
      <c r="W39" s="280">
        <v>464088.54999999976</v>
      </c>
      <c r="X39" s="280">
        <v>527450.74999999953</v>
      </c>
      <c r="Y39" s="159" t="str">
        <f t="shared" si="0"/>
        <v>OK</v>
      </c>
      <c r="Z39" t="s">
        <v>19</v>
      </c>
      <c r="AA39" s="276">
        <v>464088.54999999976</v>
      </c>
      <c r="AB39" s="276">
        <v>527450.74999999953</v>
      </c>
      <c r="AC39" s="276">
        <v>991539.29999999935</v>
      </c>
    </row>
    <row r="40" spans="1:29" x14ac:dyDescent="0.25">
      <c r="A40" s="16" t="s">
        <v>385</v>
      </c>
      <c r="B40" s="276">
        <v>1066530.1799999995</v>
      </c>
      <c r="C40" s="276">
        <v>909308.12999999954</v>
      </c>
      <c r="D40" s="276">
        <v>157222.04999999993</v>
      </c>
      <c r="F40" s="276">
        <v>1339761.7199999958</v>
      </c>
      <c r="G40" s="276">
        <v>1117542.7999999961</v>
      </c>
      <c r="H40" s="276">
        <v>222218.91999999975</v>
      </c>
      <c r="J40" s="276">
        <v>1161712.4400000004</v>
      </c>
      <c r="K40" s="276">
        <v>935090.14000000036</v>
      </c>
      <c r="L40" s="276">
        <v>226622.30000000002</v>
      </c>
      <c r="N40" s="276">
        <v>1163197.050000001</v>
      </c>
      <c r="O40" s="276">
        <v>909723.18000000122</v>
      </c>
      <c r="P40" s="276">
        <v>253473.86999999985</v>
      </c>
      <c r="R40" s="276">
        <v>1029811.6400000012</v>
      </c>
      <c r="S40" s="276">
        <v>815322.12000000116</v>
      </c>
      <c r="T40" s="276">
        <v>214489.52</v>
      </c>
      <c r="V40" s="280">
        <v>811601.30999999936</v>
      </c>
      <c r="W40" s="280">
        <v>587413.35999999964</v>
      </c>
      <c r="X40" s="280">
        <v>224187.94999999969</v>
      </c>
      <c r="Y40" s="159" t="str">
        <f t="shared" si="0"/>
        <v>OK</v>
      </c>
      <c r="Z40" t="s">
        <v>385</v>
      </c>
      <c r="AA40" s="276">
        <v>587413.35999999964</v>
      </c>
      <c r="AB40" s="276">
        <v>224187.94999999969</v>
      </c>
      <c r="AC40" s="276">
        <v>811601.30999999936</v>
      </c>
    </row>
    <row r="41" spans="1:29" x14ac:dyDescent="0.25">
      <c r="A41" s="16" t="s">
        <v>31</v>
      </c>
      <c r="B41" s="276">
        <v>517359.2399999997</v>
      </c>
      <c r="C41" s="276">
        <v>202990.8</v>
      </c>
      <c r="D41" s="276">
        <v>314368.43999999971</v>
      </c>
      <c r="F41" s="276">
        <v>567756.15000000061</v>
      </c>
      <c r="G41" s="276">
        <v>236762.17000000027</v>
      </c>
      <c r="H41" s="276">
        <v>330993.98000000033</v>
      </c>
      <c r="J41" s="276">
        <v>543568.08000000031</v>
      </c>
      <c r="K41" s="276">
        <v>236968.53000000026</v>
      </c>
      <c r="L41" s="276">
        <v>306599.55</v>
      </c>
      <c r="N41" s="276">
        <v>596939.75</v>
      </c>
      <c r="O41" s="276">
        <v>241589.29000000012</v>
      </c>
      <c r="P41" s="276">
        <v>355350.45999999985</v>
      </c>
      <c r="R41" s="276">
        <v>621328.23999999929</v>
      </c>
      <c r="S41" s="276">
        <v>255555.16999999975</v>
      </c>
      <c r="T41" s="276">
        <v>365773.0699999996</v>
      </c>
      <c r="V41" s="280">
        <v>506725.34999999963</v>
      </c>
      <c r="W41" s="280">
        <v>200932.41000000003</v>
      </c>
      <c r="X41" s="280">
        <v>305792.93999999959</v>
      </c>
      <c r="Y41" s="159" t="str">
        <f t="shared" si="0"/>
        <v>OK</v>
      </c>
      <c r="Z41" t="s">
        <v>31</v>
      </c>
      <c r="AA41" s="276">
        <v>200932.41000000003</v>
      </c>
      <c r="AB41" s="276">
        <v>305792.93999999959</v>
      </c>
      <c r="AC41" s="276">
        <v>506725.34999999963</v>
      </c>
    </row>
    <row r="42" spans="1:29" x14ac:dyDescent="0.25">
      <c r="A42" s="16" t="s">
        <v>20</v>
      </c>
      <c r="B42" s="276">
        <v>1335004.3599999985</v>
      </c>
      <c r="C42" s="276">
        <v>781227.39999999793</v>
      </c>
      <c r="D42" s="276">
        <v>553776.96000000054</v>
      </c>
      <c r="F42" s="276">
        <v>1446029.849999994</v>
      </c>
      <c r="G42" s="276">
        <v>809262.14999999583</v>
      </c>
      <c r="H42" s="276">
        <v>636767.69999999832</v>
      </c>
      <c r="J42" s="276">
        <v>1438226.8799999976</v>
      </c>
      <c r="K42" s="276">
        <v>846649.00999999861</v>
      </c>
      <c r="L42" s="276">
        <v>591577.86999999906</v>
      </c>
      <c r="N42" s="276">
        <v>1385337.9299999974</v>
      </c>
      <c r="O42" s="276">
        <v>792884.60999999847</v>
      </c>
      <c r="P42" s="276">
        <v>592453.31999999902</v>
      </c>
      <c r="R42" s="276">
        <v>1408572.959999999</v>
      </c>
      <c r="S42" s="276">
        <v>873572.70999999868</v>
      </c>
      <c r="T42" s="276">
        <v>535000.25000000023</v>
      </c>
      <c r="V42" s="280">
        <v>1026351.2999999996</v>
      </c>
      <c r="W42" s="280">
        <v>573074.92999999959</v>
      </c>
      <c r="X42" s="280">
        <v>453276.37</v>
      </c>
      <c r="Y42" s="159" t="str">
        <f t="shared" si="0"/>
        <v>OK</v>
      </c>
      <c r="Z42" t="s">
        <v>20</v>
      </c>
      <c r="AA42" s="276">
        <v>573074.92999999959</v>
      </c>
      <c r="AB42" s="276">
        <v>453276.37</v>
      </c>
      <c r="AC42" s="276">
        <v>1026351.2999999996</v>
      </c>
    </row>
    <row r="43" spans="1:29" x14ac:dyDescent="0.25">
      <c r="A43" s="16" t="s">
        <v>42</v>
      </c>
      <c r="B43" s="276">
        <v>3683422.7399999718</v>
      </c>
      <c r="C43" s="276">
        <v>1851572.6799999913</v>
      </c>
      <c r="D43" s="276">
        <v>1831850.0599999805</v>
      </c>
      <c r="F43" s="276">
        <v>3465551.619999974</v>
      </c>
      <c r="G43" s="276">
        <v>1828321.0899999875</v>
      </c>
      <c r="H43" s="276">
        <v>1637230.5299999865</v>
      </c>
      <c r="J43" s="276">
        <v>3708428.8399999756</v>
      </c>
      <c r="K43" s="276">
        <v>1926653.6799999902</v>
      </c>
      <c r="L43" s="276">
        <v>1781775.1599999855</v>
      </c>
      <c r="N43" s="276">
        <v>3640490.9499999825</v>
      </c>
      <c r="O43" s="276">
        <v>1953180.3799999969</v>
      </c>
      <c r="P43" s="276">
        <v>1687310.5699999854</v>
      </c>
      <c r="R43" s="276">
        <v>3561115.8399999766</v>
      </c>
      <c r="S43" s="276">
        <v>2023253.8399999936</v>
      </c>
      <c r="T43" s="276">
        <v>1537861.999999983</v>
      </c>
      <c r="V43" s="280">
        <v>2720533.2299999874</v>
      </c>
      <c r="W43" s="280">
        <v>1494573.8199999956</v>
      </c>
      <c r="X43" s="280">
        <v>1225959.4099999918</v>
      </c>
      <c r="Y43" s="159" t="str">
        <f t="shared" si="0"/>
        <v>OK</v>
      </c>
      <c r="Z43" t="s">
        <v>42</v>
      </c>
      <c r="AA43" s="276">
        <v>1494573.8199999956</v>
      </c>
      <c r="AB43" s="276">
        <v>1225959.4099999918</v>
      </c>
      <c r="AC43" s="276">
        <v>2720533.2299999874</v>
      </c>
    </row>
    <row r="44" spans="1:29" x14ac:dyDescent="0.25">
      <c r="A44" s="16" t="s">
        <v>43</v>
      </c>
      <c r="B44" s="276">
        <v>3492490.5699999789</v>
      </c>
      <c r="C44" s="276">
        <v>2021963.3999999913</v>
      </c>
      <c r="D44" s="276">
        <v>1470527.1699999874</v>
      </c>
      <c r="F44" s="276">
        <v>3614233.3399999812</v>
      </c>
      <c r="G44" s="276">
        <v>2132164.579999994</v>
      </c>
      <c r="H44" s="276">
        <v>1482068.7599999872</v>
      </c>
      <c r="J44" s="276">
        <v>3475398.7499999823</v>
      </c>
      <c r="K44" s="276">
        <v>2055845.5199999914</v>
      </c>
      <c r="L44" s="276">
        <v>1419553.2299999909</v>
      </c>
      <c r="N44" s="276">
        <v>3138883.5499999877</v>
      </c>
      <c r="O44" s="276">
        <v>1913075.8199999982</v>
      </c>
      <c r="P44" s="276">
        <v>1225807.7299999893</v>
      </c>
      <c r="R44" s="276">
        <v>2977705.7699999912</v>
      </c>
      <c r="S44" s="276">
        <v>1830265.2499999979</v>
      </c>
      <c r="T44" s="276">
        <v>1147440.519999993</v>
      </c>
      <c r="V44" s="280">
        <v>2002056.7399999942</v>
      </c>
      <c r="W44" s="280">
        <v>1141654.4099999964</v>
      </c>
      <c r="X44" s="280">
        <v>860402.32999999775</v>
      </c>
      <c r="Y44" s="159" t="str">
        <f t="shared" si="0"/>
        <v>OK</v>
      </c>
      <c r="Z44" t="s">
        <v>43</v>
      </c>
      <c r="AA44" s="276">
        <v>1141654.4099999964</v>
      </c>
      <c r="AB44" s="276">
        <v>860402.32999999775</v>
      </c>
      <c r="AC44" s="276">
        <v>2002056.7399999942</v>
      </c>
    </row>
    <row r="45" spans="1:29" x14ac:dyDescent="0.25">
      <c r="A45" s="16" t="s">
        <v>34</v>
      </c>
      <c r="B45" s="276">
        <v>74237.470000000016</v>
      </c>
      <c r="C45" s="276">
        <v>34895.400000000016</v>
      </c>
      <c r="D45" s="276">
        <v>39342.07</v>
      </c>
      <c r="F45" s="276">
        <v>93723.489999999962</v>
      </c>
      <c r="G45" s="276">
        <v>54326.619999999959</v>
      </c>
      <c r="H45" s="276">
        <v>39396.869999999995</v>
      </c>
      <c r="J45" s="276">
        <v>76713.919999999998</v>
      </c>
      <c r="K45" s="276">
        <v>39569.029999999984</v>
      </c>
      <c r="L45" s="276">
        <v>37144.890000000014</v>
      </c>
      <c r="N45" s="276">
        <v>80800.849999999977</v>
      </c>
      <c r="O45" s="276">
        <v>45719.439999999973</v>
      </c>
      <c r="P45" s="276">
        <v>35081.410000000003</v>
      </c>
      <c r="R45" s="276">
        <v>87617.269999999975</v>
      </c>
      <c r="S45" s="276">
        <v>56797.239999999976</v>
      </c>
      <c r="T45" s="276">
        <v>30820.03</v>
      </c>
      <c r="V45" s="280">
        <v>79055.789999999979</v>
      </c>
      <c r="W45" s="280">
        <v>50925.709999999977</v>
      </c>
      <c r="X45" s="280">
        <v>28130.080000000002</v>
      </c>
      <c r="Y45" s="159" t="str">
        <f t="shared" si="0"/>
        <v>OK</v>
      </c>
      <c r="Z45" t="s">
        <v>34</v>
      </c>
      <c r="AA45" s="276">
        <v>50925.709999999977</v>
      </c>
      <c r="AB45" s="276">
        <v>28130.080000000002</v>
      </c>
      <c r="AC45" s="276">
        <v>79055.789999999979</v>
      </c>
    </row>
    <row r="46" spans="1:29" x14ac:dyDescent="0.25">
      <c r="A46" s="16" t="s">
        <v>35</v>
      </c>
      <c r="B46" s="276">
        <v>48587.58</v>
      </c>
      <c r="C46" s="276">
        <v>23440.629999999997</v>
      </c>
      <c r="D46" s="276">
        <v>25146.950000000004</v>
      </c>
      <c r="F46" s="276">
        <v>72863.92</v>
      </c>
      <c r="G46" s="276">
        <v>42289.469999999994</v>
      </c>
      <c r="H46" s="276">
        <v>30574.450000000008</v>
      </c>
      <c r="J46" s="276">
        <v>45613.220000000008</v>
      </c>
      <c r="K46" s="276">
        <v>22173.460000000003</v>
      </c>
      <c r="L46" s="276">
        <v>23439.760000000006</v>
      </c>
      <c r="N46" s="276">
        <v>79005.429999999993</v>
      </c>
      <c r="O46" s="276">
        <v>51017.090000000004</v>
      </c>
      <c r="P46" s="276">
        <v>27988.339999999997</v>
      </c>
      <c r="R46" s="276">
        <v>67546.549999999988</v>
      </c>
      <c r="S46" s="276">
        <v>47150.549999999996</v>
      </c>
      <c r="T46" s="276">
        <v>20396</v>
      </c>
      <c r="V46" s="280">
        <v>62049.939999999988</v>
      </c>
      <c r="W46" s="280">
        <v>41994.569999999992</v>
      </c>
      <c r="X46" s="280">
        <v>20055.369999999992</v>
      </c>
      <c r="Y46" s="159" t="str">
        <f t="shared" si="0"/>
        <v>OK</v>
      </c>
      <c r="Z46" t="s">
        <v>35</v>
      </c>
      <c r="AA46" s="276">
        <v>41994.569999999992</v>
      </c>
      <c r="AB46" s="276">
        <v>20055.369999999992</v>
      </c>
      <c r="AC46" s="276">
        <v>62049.939999999988</v>
      </c>
    </row>
    <row r="47" spans="1:29" x14ac:dyDescent="0.25">
      <c r="A47" s="16" t="s">
        <v>386</v>
      </c>
      <c r="B47" s="276">
        <v>521171.08999999962</v>
      </c>
      <c r="C47" s="276">
        <v>224955.47999999984</v>
      </c>
      <c r="D47" s="276">
        <v>296215.60999999975</v>
      </c>
      <c r="F47" s="276">
        <v>572397.23</v>
      </c>
      <c r="G47" s="276">
        <v>266670.4100000005</v>
      </c>
      <c r="H47" s="276">
        <v>305726.81999999948</v>
      </c>
      <c r="J47" s="276">
        <v>479435.72999999975</v>
      </c>
      <c r="K47" s="276">
        <v>197827.29999999973</v>
      </c>
      <c r="L47" s="276">
        <v>281608.43</v>
      </c>
      <c r="N47" s="276">
        <v>481455.16999999946</v>
      </c>
      <c r="O47" s="276">
        <v>192510.75999999969</v>
      </c>
      <c r="P47" s="276">
        <v>288944.40999999974</v>
      </c>
      <c r="R47" s="276">
        <v>691342.14000000025</v>
      </c>
      <c r="S47" s="276">
        <v>239351.0900000004</v>
      </c>
      <c r="T47" s="276">
        <v>451991.04999999987</v>
      </c>
      <c r="V47" s="280">
        <v>801636.40999999852</v>
      </c>
      <c r="W47" s="280">
        <v>179672.42000000036</v>
      </c>
      <c r="X47" s="280">
        <v>621963.98999999813</v>
      </c>
      <c r="Y47" s="159" t="str">
        <f t="shared" si="0"/>
        <v>OK</v>
      </c>
      <c r="Z47" t="s">
        <v>386</v>
      </c>
      <c r="AA47" s="276">
        <v>179672.42000000036</v>
      </c>
      <c r="AB47" s="276">
        <v>621963.98999999813</v>
      </c>
      <c r="AC47" s="276">
        <v>801636.40999999852</v>
      </c>
    </row>
    <row r="48" spans="1:29" x14ac:dyDescent="0.25">
      <c r="A48" s="16" t="s">
        <v>36</v>
      </c>
      <c r="B48" s="276">
        <v>1702407.7799999951</v>
      </c>
      <c r="C48" s="276">
        <v>1356152.879999995</v>
      </c>
      <c r="D48" s="276">
        <v>346254.90000000008</v>
      </c>
      <c r="F48" s="276">
        <v>1575908.9699999976</v>
      </c>
      <c r="G48" s="276">
        <v>1250095.9599999974</v>
      </c>
      <c r="H48" s="276">
        <v>325813.01000000018</v>
      </c>
      <c r="J48" s="276">
        <v>1493744.7599999995</v>
      </c>
      <c r="K48" s="276">
        <v>1127160.6099999992</v>
      </c>
      <c r="L48" s="276">
        <v>366584.15000000043</v>
      </c>
      <c r="N48" s="276">
        <v>2024914.2399999967</v>
      </c>
      <c r="O48" s="276">
        <v>1627167.2999999966</v>
      </c>
      <c r="P48" s="276">
        <v>397746.94000000012</v>
      </c>
      <c r="R48" s="276">
        <v>1864546.1500000046</v>
      </c>
      <c r="S48" s="276">
        <v>1477104.5200000051</v>
      </c>
      <c r="T48" s="276">
        <v>387441.62999999948</v>
      </c>
      <c r="V48" s="280">
        <v>1438013.0599999966</v>
      </c>
      <c r="W48" s="280">
        <v>1156571.6599999962</v>
      </c>
      <c r="X48" s="280">
        <v>281441.40000000031</v>
      </c>
      <c r="Y48" s="159" t="str">
        <f t="shared" si="0"/>
        <v>OK</v>
      </c>
      <c r="Z48" t="s">
        <v>36</v>
      </c>
      <c r="AA48" s="276">
        <v>1156571.6599999962</v>
      </c>
      <c r="AB48" s="276">
        <v>281441.40000000031</v>
      </c>
      <c r="AC48" s="276">
        <v>1438013.0599999966</v>
      </c>
    </row>
    <row r="49" spans="1:29" x14ac:dyDescent="0.25">
      <c r="A49" s="16" t="s">
        <v>38</v>
      </c>
      <c r="B49" s="276">
        <v>120327.52000000008</v>
      </c>
      <c r="C49" s="276">
        <v>77065.750000000073</v>
      </c>
      <c r="D49" s="276">
        <v>43261.77</v>
      </c>
      <c r="F49" s="276">
        <v>154844.07000000007</v>
      </c>
      <c r="G49" s="276">
        <v>112588.70000000007</v>
      </c>
      <c r="H49" s="276">
        <v>42255.369999999981</v>
      </c>
      <c r="J49" s="276">
        <v>98798.770000000033</v>
      </c>
      <c r="K49" s="276">
        <v>61389.360000000022</v>
      </c>
      <c r="L49" s="276">
        <v>37409.410000000011</v>
      </c>
      <c r="N49" s="276">
        <v>145664.73999999993</v>
      </c>
      <c r="O49" s="276">
        <v>102535.41999999997</v>
      </c>
      <c r="P49" s="276">
        <v>43129.319999999963</v>
      </c>
      <c r="R49" s="276">
        <v>125712.90999999992</v>
      </c>
      <c r="S49" s="276">
        <v>79312.379999999946</v>
      </c>
      <c r="T49" s="276">
        <v>46400.529999999962</v>
      </c>
      <c r="V49" s="280">
        <v>88875.439999999973</v>
      </c>
      <c r="W49" s="280">
        <v>46171.64999999998</v>
      </c>
      <c r="X49" s="280">
        <v>42703.79</v>
      </c>
      <c r="Y49" s="159" t="str">
        <f t="shared" si="0"/>
        <v>OK</v>
      </c>
      <c r="Z49" t="s">
        <v>38</v>
      </c>
      <c r="AA49" s="276">
        <v>46171.64999999998</v>
      </c>
      <c r="AB49" s="276">
        <v>42703.79</v>
      </c>
      <c r="AC49" s="276">
        <v>88875.439999999973</v>
      </c>
    </row>
    <row r="50" spans="1:29" x14ac:dyDescent="0.25">
      <c r="A50" s="16" t="s">
        <v>39</v>
      </c>
      <c r="B50" s="276">
        <v>820287.26</v>
      </c>
      <c r="C50" s="276">
        <v>612736.32999999996</v>
      </c>
      <c r="D50" s="276">
        <v>207550.93000000011</v>
      </c>
      <c r="F50" s="276">
        <v>933317.31000000087</v>
      </c>
      <c r="G50" s="276">
        <v>668935.01000000082</v>
      </c>
      <c r="H50" s="276">
        <v>264382.30000000005</v>
      </c>
      <c r="J50" s="276">
        <v>755760.70000000065</v>
      </c>
      <c r="K50" s="276">
        <v>547801.64000000083</v>
      </c>
      <c r="L50" s="276">
        <v>207959.05999999988</v>
      </c>
      <c r="N50" s="276">
        <v>876436.41999999934</v>
      </c>
      <c r="O50" s="276">
        <v>613664.42999999935</v>
      </c>
      <c r="P50" s="276">
        <v>262771.99</v>
      </c>
      <c r="R50" s="276">
        <v>1174404.1799999971</v>
      </c>
      <c r="S50" s="276">
        <v>816917.67999999761</v>
      </c>
      <c r="T50" s="276">
        <v>357486.49999999953</v>
      </c>
      <c r="V50" s="280">
        <v>721939.54999999946</v>
      </c>
      <c r="W50" s="280">
        <v>491749.74999999971</v>
      </c>
      <c r="X50" s="280">
        <v>230189.79999999976</v>
      </c>
      <c r="Y50" s="159" t="str">
        <f t="shared" si="0"/>
        <v>OK</v>
      </c>
      <c r="Z50" t="s">
        <v>39</v>
      </c>
      <c r="AA50" s="276">
        <v>491749.74999999971</v>
      </c>
      <c r="AB50" s="276">
        <v>230189.79999999976</v>
      </c>
      <c r="AC50" s="276">
        <v>721939.54999999946</v>
      </c>
    </row>
    <row r="51" spans="1:29" x14ac:dyDescent="0.25">
      <c r="A51" s="16" t="s">
        <v>40</v>
      </c>
      <c r="B51" s="276">
        <v>2666505.5699999896</v>
      </c>
      <c r="C51" s="276">
        <v>1302592.5799999933</v>
      </c>
      <c r="D51" s="276">
        <v>1363912.9899999963</v>
      </c>
      <c r="F51" s="276">
        <v>2561054.749999986</v>
      </c>
      <c r="G51" s="276">
        <v>1312146.7699999926</v>
      </c>
      <c r="H51" s="276">
        <v>1248907.9799999935</v>
      </c>
      <c r="J51" s="276">
        <v>2355929.4599999925</v>
      </c>
      <c r="K51" s="276">
        <v>1059314.7400000005</v>
      </c>
      <c r="L51" s="276">
        <v>1296614.7199999923</v>
      </c>
      <c r="N51" s="276">
        <v>2297812.3699999927</v>
      </c>
      <c r="O51" s="276">
        <v>1167520.0799999994</v>
      </c>
      <c r="P51" s="276">
        <v>1130292.2899999931</v>
      </c>
      <c r="R51" s="276">
        <v>2481845.0999999954</v>
      </c>
      <c r="S51" s="276">
        <v>1449674.8600000006</v>
      </c>
      <c r="T51" s="276">
        <v>1032170.2399999949</v>
      </c>
      <c r="V51" s="280">
        <v>1686665.9099999939</v>
      </c>
      <c r="W51" s="280">
        <v>949499.79999999842</v>
      </c>
      <c r="X51" s="280">
        <v>737166.10999999545</v>
      </c>
      <c r="Y51" s="159" t="str">
        <f t="shared" si="0"/>
        <v>OK</v>
      </c>
      <c r="Z51" t="s">
        <v>40</v>
      </c>
      <c r="AA51" s="276">
        <v>949499.79999999842</v>
      </c>
      <c r="AB51" s="276">
        <v>737166.10999999545</v>
      </c>
      <c r="AC51" s="276">
        <v>1686665.9099999939</v>
      </c>
    </row>
    <row r="52" spans="1:29" x14ac:dyDescent="0.25">
      <c r="A52" s="16"/>
      <c r="V52" s="96"/>
      <c r="W52" s="96"/>
      <c r="X52" s="96"/>
    </row>
    <row r="53" spans="1:29" ht="15.75" thickBot="1" x14ac:dyDescent="0.3">
      <c r="A53" s="25" t="s">
        <v>123</v>
      </c>
      <c r="B53" s="278">
        <v>131967290.51999876</v>
      </c>
      <c r="C53" s="278">
        <v>88043843.039998099</v>
      </c>
      <c r="D53" s="278">
        <v>43923447.48000066</v>
      </c>
      <c r="F53" s="278">
        <v>136585803.59999862</v>
      </c>
      <c r="G53" s="278">
        <v>91795349.699998111</v>
      </c>
      <c r="H53" s="278">
        <v>44790453.90000055</v>
      </c>
      <c r="J53" s="278">
        <v>138105529.32999957</v>
      </c>
      <c r="K53" s="278">
        <v>93197568.069999009</v>
      </c>
      <c r="L53" s="278">
        <v>44907961.260000609</v>
      </c>
      <c r="N53" s="278">
        <v>143436905.92000112</v>
      </c>
      <c r="O53" s="278">
        <v>98336851.93000032</v>
      </c>
      <c r="P53" s="278">
        <v>45100053.990000874</v>
      </c>
      <c r="R53" s="278">
        <v>146872988.92000079</v>
      </c>
      <c r="S53" s="278">
        <v>101268037.68999985</v>
      </c>
      <c r="T53" s="278">
        <v>45604951.230000906</v>
      </c>
      <c r="V53" s="321">
        <f t="shared" ref="V53" si="1">SUM(V6:V51)</f>
        <v>113432810.10000044</v>
      </c>
      <c r="W53" s="321">
        <f t="shared" ref="W53" si="2">SUM(W6:W51)</f>
        <v>73080568.059999853</v>
      </c>
      <c r="X53" s="321">
        <f t="shared" ref="X53" si="3">SUM(X6:X51)</f>
        <v>40352242.040000573</v>
      </c>
      <c r="Z53" t="s">
        <v>426</v>
      </c>
      <c r="AA53" s="276">
        <v>73080568.059999853</v>
      </c>
      <c r="AB53" s="276">
        <v>40352242.040000573</v>
      </c>
      <c r="AC53" s="276">
        <v>113432810.10000044</v>
      </c>
    </row>
    <row r="54" spans="1:29" ht="15.75" thickTop="1" x14ac:dyDescent="0.25"/>
  </sheetData>
  <pageMargins left="0.7" right="0.7" top="0.75" bottom="0.75" header="0.3" footer="0.3"/>
  <pageSetup orientation="portrait"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T56"/>
  <sheetViews>
    <sheetView workbookViewId="0">
      <pane xSplit="1" ySplit="5" topLeftCell="AG39"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4" max="4" width="12.5703125" bestFit="1" customWidth="1"/>
    <col min="5" max="5" width="1.7109375" customWidth="1"/>
    <col min="8" max="8" width="12.5703125" bestFit="1" customWidth="1"/>
    <col min="12" max="12" width="1.7109375" customWidth="1"/>
    <col min="15" max="15" width="12.5703125" bestFit="1" customWidth="1"/>
    <col min="16" max="16" width="1.7109375" customWidth="1"/>
    <col min="19" max="19" width="12.5703125" bestFit="1" customWidth="1"/>
    <col min="23" max="23" width="1.7109375" customWidth="1"/>
    <col min="26" max="26" width="12.5703125" bestFit="1" customWidth="1"/>
    <col min="30" max="30" width="1.7109375" customWidth="1"/>
    <col min="33" max="33" width="12.5703125" bestFit="1" customWidth="1"/>
    <col min="37" max="37" width="1.7109375" customWidth="1"/>
    <col min="40" max="40" width="12.5703125" bestFit="1" customWidth="1"/>
    <col min="45" max="45" width="42.5703125" bestFit="1" customWidth="1"/>
    <col min="46" max="46" width="12" bestFit="1" customWidth="1"/>
  </cols>
  <sheetData>
    <row r="1" spans="1:46"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c r="AJ1" s="29">
        <v>36</v>
      </c>
      <c r="AK1" s="29">
        <v>37</v>
      </c>
      <c r="AL1" s="29">
        <v>38</v>
      </c>
      <c r="AM1" s="29">
        <v>39</v>
      </c>
      <c r="AN1" s="29">
        <v>40</v>
      </c>
      <c r="AO1" s="29">
        <v>41</v>
      </c>
      <c r="AP1" s="29">
        <v>42</v>
      </c>
      <c r="AQ1" s="29">
        <v>43</v>
      </c>
    </row>
    <row r="2" spans="1:46" x14ac:dyDescent="0.25">
      <c r="B2" s="39" t="s">
        <v>57</v>
      </c>
      <c r="C2" s="39"/>
      <c r="D2" s="39"/>
      <c r="E2" s="38"/>
      <c r="F2" s="39"/>
      <c r="G2" s="39"/>
      <c r="H2" s="39"/>
      <c r="I2" s="39"/>
      <c r="J2" s="39"/>
      <c r="K2" s="39"/>
      <c r="L2" s="38"/>
      <c r="M2" s="39"/>
      <c r="N2" s="39"/>
      <c r="O2" s="39"/>
      <c r="P2" s="38"/>
      <c r="Q2" s="39"/>
      <c r="R2" s="39"/>
      <c r="S2" s="39"/>
      <c r="T2" s="39"/>
      <c r="U2" s="39"/>
      <c r="V2" s="39"/>
      <c r="W2" s="38"/>
      <c r="X2" s="39"/>
      <c r="Y2" s="39"/>
      <c r="Z2" s="39"/>
      <c r="AA2" s="39"/>
      <c r="AB2" s="39"/>
      <c r="AC2" s="39"/>
      <c r="AD2" s="38"/>
      <c r="AE2" s="39"/>
      <c r="AF2" s="39"/>
      <c r="AG2" s="39"/>
      <c r="AH2" s="39"/>
      <c r="AI2" s="39"/>
      <c r="AJ2" s="39"/>
      <c r="AK2" s="38"/>
      <c r="AL2" s="39"/>
      <c r="AM2" s="39"/>
      <c r="AN2" s="39"/>
      <c r="AO2" s="39"/>
      <c r="AP2" s="39"/>
      <c r="AQ2" s="39"/>
    </row>
    <row r="3" spans="1:46" x14ac:dyDescent="0.25">
      <c r="B3" s="335" t="s">
        <v>137</v>
      </c>
      <c r="C3" s="335"/>
      <c r="D3" s="335"/>
      <c r="E3" s="73"/>
      <c r="F3" s="335" t="s">
        <v>137</v>
      </c>
      <c r="G3" s="335"/>
      <c r="H3" s="335"/>
      <c r="I3" s="335" t="s">
        <v>140</v>
      </c>
      <c r="J3" s="335"/>
      <c r="K3" s="335"/>
      <c r="L3" s="73"/>
      <c r="M3" s="335" t="s">
        <v>137</v>
      </c>
      <c r="N3" s="335"/>
      <c r="O3" s="335"/>
      <c r="P3" s="73"/>
      <c r="Q3" s="335" t="s">
        <v>137</v>
      </c>
      <c r="R3" s="335"/>
      <c r="S3" s="335"/>
      <c r="T3" s="335" t="s">
        <v>140</v>
      </c>
      <c r="U3" s="335"/>
      <c r="V3" s="335"/>
      <c r="W3" s="73"/>
      <c r="X3" s="335" t="s">
        <v>137</v>
      </c>
      <c r="Y3" s="335"/>
      <c r="Z3" s="335"/>
      <c r="AA3" s="335" t="s">
        <v>140</v>
      </c>
      <c r="AB3" s="335"/>
      <c r="AC3" s="335"/>
      <c r="AD3" s="73"/>
      <c r="AE3" s="335" t="s">
        <v>137</v>
      </c>
      <c r="AF3" s="335"/>
      <c r="AG3" s="335"/>
      <c r="AH3" s="335" t="s">
        <v>140</v>
      </c>
      <c r="AI3" s="335"/>
      <c r="AJ3" s="335"/>
      <c r="AK3" s="73"/>
      <c r="AL3" s="335" t="s">
        <v>137</v>
      </c>
      <c r="AM3" s="335"/>
      <c r="AN3" s="335"/>
      <c r="AO3" s="335" t="s">
        <v>140</v>
      </c>
      <c r="AP3" s="335"/>
      <c r="AQ3" s="335"/>
    </row>
    <row r="4" spans="1:46" x14ac:dyDescent="0.25">
      <c r="B4" s="15">
        <v>2014</v>
      </c>
      <c r="C4" s="15">
        <v>2014</v>
      </c>
      <c r="D4" s="15">
        <v>2014</v>
      </c>
      <c r="E4" s="15"/>
      <c r="F4" s="15">
        <v>2015</v>
      </c>
      <c r="G4" s="15">
        <v>2015</v>
      </c>
      <c r="H4" s="15">
        <v>2015</v>
      </c>
      <c r="I4" s="43">
        <v>2015</v>
      </c>
      <c r="J4" s="43">
        <v>2015</v>
      </c>
      <c r="K4" s="43">
        <v>2015</v>
      </c>
      <c r="L4" s="15"/>
      <c r="M4" s="15">
        <v>2016</v>
      </c>
      <c r="N4" s="15">
        <v>2016</v>
      </c>
      <c r="O4" s="15">
        <v>2016</v>
      </c>
      <c r="P4" s="15"/>
      <c r="Q4" s="15">
        <v>2017</v>
      </c>
      <c r="R4" s="15">
        <v>2017</v>
      </c>
      <c r="S4" s="15">
        <v>2017</v>
      </c>
      <c r="T4" s="43">
        <v>2017</v>
      </c>
      <c r="U4" s="43">
        <v>2017</v>
      </c>
      <c r="V4" s="43">
        <v>2017</v>
      </c>
      <c r="W4" s="15"/>
      <c r="X4" s="15">
        <v>2018</v>
      </c>
      <c r="Y4" s="15">
        <v>2018</v>
      </c>
      <c r="Z4" s="15">
        <v>2018</v>
      </c>
      <c r="AA4" s="43">
        <v>2018</v>
      </c>
      <c r="AB4" s="43">
        <v>2018</v>
      </c>
      <c r="AC4" s="43">
        <v>2018</v>
      </c>
      <c r="AD4" s="15"/>
      <c r="AE4" s="15">
        <v>2019</v>
      </c>
      <c r="AF4" s="15">
        <v>2019</v>
      </c>
      <c r="AG4" s="15">
        <v>2019</v>
      </c>
      <c r="AH4" s="43">
        <v>2019</v>
      </c>
      <c r="AI4" s="43">
        <v>2019</v>
      </c>
      <c r="AJ4" s="43">
        <v>2019</v>
      </c>
      <c r="AK4" s="15"/>
      <c r="AL4" s="43">
        <v>2020</v>
      </c>
      <c r="AM4" s="43">
        <v>2020</v>
      </c>
      <c r="AN4" s="43">
        <v>2020</v>
      </c>
      <c r="AO4" s="43">
        <v>2020</v>
      </c>
      <c r="AP4" s="43">
        <v>2020</v>
      </c>
      <c r="AQ4" s="43">
        <v>2020</v>
      </c>
    </row>
    <row r="5" spans="1:46" ht="45" x14ac:dyDescent="0.25">
      <c r="A5" s="40" t="s">
        <v>44</v>
      </c>
      <c r="B5" s="42" t="s">
        <v>93</v>
      </c>
      <c r="C5" s="42" t="s">
        <v>138</v>
      </c>
      <c r="D5" s="42" t="s">
        <v>139</v>
      </c>
      <c r="E5" s="42"/>
      <c r="F5" s="42" t="s">
        <v>93</v>
      </c>
      <c r="G5" s="42" t="s">
        <v>138</v>
      </c>
      <c r="H5" s="42" t="s">
        <v>139</v>
      </c>
      <c r="I5" s="41" t="s">
        <v>94</v>
      </c>
      <c r="J5" s="41" t="s">
        <v>141</v>
      </c>
      <c r="K5" s="41" t="s">
        <v>51</v>
      </c>
      <c r="L5" s="42"/>
      <c r="M5" s="42" t="s">
        <v>93</v>
      </c>
      <c r="N5" s="41" t="s">
        <v>138</v>
      </c>
      <c r="O5" s="42" t="s">
        <v>139</v>
      </c>
      <c r="P5" s="42"/>
      <c r="Q5" s="42" t="s">
        <v>93</v>
      </c>
      <c r="R5" s="41" t="s">
        <v>138</v>
      </c>
      <c r="S5" s="42" t="s">
        <v>139</v>
      </c>
      <c r="T5" s="41" t="s">
        <v>94</v>
      </c>
      <c r="U5" s="41" t="s">
        <v>141</v>
      </c>
      <c r="V5" s="41" t="s">
        <v>51</v>
      </c>
      <c r="W5" s="42"/>
      <c r="X5" s="42" t="s">
        <v>93</v>
      </c>
      <c r="Y5" s="41" t="s">
        <v>138</v>
      </c>
      <c r="Z5" s="42" t="s">
        <v>139</v>
      </c>
      <c r="AA5" s="41" t="s">
        <v>94</v>
      </c>
      <c r="AB5" s="41" t="s">
        <v>141</v>
      </c>
      <c r="AC5" s="41" t="s">
        <v>51</v>
      </c>
      <c r="AD5" s="42"/>
      <c r="AE5" s="42" t="s">
        <v>93</v>
      </c>
      <c r="AF5" s="41" t="s">
        <v>138</v>
      </c>
      <c r="AG5" s="42" t="s">
        <v>139</v>
      </c>
      <c r="AH5" s="41" t="s">
        <v>94</v>
      </c>
      <c r="AI5" s="41" t="s">
        <v>141</v>
      </c>
      <c r="AJ5" s="41" t="s">
        <v>51</v>
      </c>
      <c r="AK5" s="42"/>
      <c r="AL5" s="42" t="s">
        <v>93</v>
      </c>
      <c r="AM5" s="42" t="s">
        <v>138</v>
      </c>
      <c r="AN5" s="42" t="s">
        <v>139</v>
      </c>
      <c r="AO5" s="41" t="s">
        <v>94</v>
      </c>
      <c r="AP5" s="41" t="s">
        <v>141</v>
      </c>
      <c r="AQ5" s="41" t="s">
        <v>51</v>
      </c>
    </row>
    <row r="6" spans="1:46" x14ac:dyDescent="0.25">
      <c r="A6" s="16" t="s">
        <v>0</v>
      </c>
      <c r="B6" s="33">
        <v>2</v>
      </c>
      <c r="C6" s="33">
        <v>342</v>
      </c>
      <c r="D6" s="35">
        <v>217832.2</v>
      </c>
      <c r="E6" s="35"/>
      <c r="F6" s="33">
        <v>2</v>
      </c>
      <c r="G6" s="33">
        <v>334</v>
      </c>
      <c r="H6" s="35">
        <v>277147.74</v>
      </c>
      <c r="I6" s="33">
        <v>5</v>
      </c>
      <c r="J6" s="33">
        <v>4</v>
      </c>
      <c r="K6" s="26">
        <v>0.8</v>
      </c>
      <c r="L6" s="35"/>
      <c r="M6" s="33">
        <v>2</v>
      </c>
      <c r="N6" s="33">
        <v>360</v>
      </c>
      <c r="O6" s="35">
        <v>374982.87</v>
      </c>
      <c r="P6" s="35"/>
      <c r="Q6" s="33">
        <v>4</v>
      </c>
      <c r="R6" s="33">
        <v>376</v>
      </c>
      <c r="S6" s="35">
        <v>274706.54000000004</v>
      </c>
      <c r="T6" s="75">
        <v>4</v>
      </c>
      <c r="U6" s="75">
        <v>3</v>
      </c>
      <c r="V6" s="26">
        <v>0.75</v>
      </c>
      <c r="W6" s="35"/>
      <c r="X6" s="33">
        <v>2</v>
      </c>
      <c r="Y6" s="33">
        <v>332</v>
      </c>
      <c r="Z6" s="35">
        <v>196266.84</v>
      </c>
      <c r="AA6" s="75">
        <v>5</v>
      </c>
      <c r="AB6" s="75">
        <v>3</v>
      </c>
      <c r="AC6" s="26">
        <v>0.6</v>
      </c>
      <c r="AD6" s="35"/>
      <c r="AE6" s="33">
        <v>2</v>
      </c>
      <c r="AF6" s="33">
        <v>298</v>
      </c>
      <c r="AG6" s="35">
        <v>91632.41</v>
      </c>
      <c r="AH6" s="75">
        <v>3</v>
      </c>
      <c r="AI6" s="75">
        <v>2</v>
      </c>
      <c r="AJ6" s="26">
        <v>0.66666666666666663</v>
      </c>
      <c r="AK6" s="35"/>
      <c r="AL6" s="99">
        <v>2</v>
      </c>
      <c r="AM6" s="99">
        <v>207</v>
      </c>
      <c r="AN6" s="91">
        <v>146575.5</v>
      </c>
      <c r="AO6" s="99">
        <v>2</v>
      </c>
      <c r="AP6" s="99">
        <v>1</v>
      </c>
      <c r="AQ6" s="84">
        <f>AP6/AO6</f>
        <v>0.5</v>
      </c>
      <c r="AR6" s="159" t="str">
        <f t="shared" ref="AR6:AR51" si="0">IF(AS6=A6,"OK","No")</f>
        <v>No</v>
      </c>
      <c r="AS6" t="s">
        <v>355</v>
      </c>
      <c r="AT6">
        <v>2</v>
      </c>
    </row>
    <row r="7" spans="1:46" x14ac:dyDescent="0.25">
      <c r="A7" s="16" t="s">
        <v>25</v>
      </c>
      <c r="B7" s="33">
        <v>6</v>
      </c>
      <c r="C7" s="33">
        <v>953</v>
      </c>
      <c r="D7" s="35">
        <v>25046761.289999999</v>
      </c>
      <c r="E7" s="35"/>
      <c r="F7" s="33">
        <v>6</v>
      </c>
      <c r="G7" s="33">
        <v>888</v>
      </c>
      <c r="H7" s="35">
        <v>22032420.84</v>
      </c>
      <c r="I7" s="33">
        <v>9</v>
      </c>
      <c r="J7" s="33">
        <v>2</v>
      </c>
      <c r="K7" s="26">
        <v>0.22222222222222221</v>
      </c>
      <c r="L7" s="35"/>
      <c r="M7" s="33">
        <v>6</v>
      </c>
      <c r="N7" s="33">
        <v>867</v>
      </c>
      <c r="O7" s="35">
        <v>36839322.250000007</v>
      </c>
      <c r="P7" s="35"/>
      <c r="Q7" s="33">
        <v>12</v>
      </c>
      <c r="R7" s="33">
        <v>785</v>
      </c>
      <c r="S7" s="35">
        <v>24161812.529999997</v>
      </c>
      <c r="T7" s="75">
        <v>7</v>
      </c>
      <c r="U7" s="75">
        <v>3</v>
      </c>
      <c r="V7" s="26">
        <v>0.42857142857142855</v>
      </c>
      <c r="W7" s="35"/>
      <c r="X7" s="33">
        <v>6</v>
      </c>
      <c r="Y7" s="33">
        <v>746</v>
      </c>
      <c r="Z7" s="35">
        <v>24489797.580000006</v>
      </c>
      <c r="AA7" s="75">
        <v>28</v>
      </c>
      <c r="AB7" s="75">
        <v>21</v>
      </c>
      <c r="AC7" s="26">
        <v>0.75</v>
      </c>
      <c r="AD7" s="35"/>
      <c r="AE7" s="33">
        <v>9</v>
      </c>
      <c r="AF7" s="33">
        <v>785</v>
      </c>
      <c r="AG7" s="35">
        <v>26698307.25</v>
      </c>
      <c r="AH7" s="75">
        <v>12</v>
      </c>
      <c r="AI7" s="75">
        <v>7</v>
      </c>
      <c r="AJ7" s="26">
        <v>0.58333333333333337</v>
      </c>
      <c r="AK7" s="35"/>
      <c r="AL7" s="99">
        <v>7</v>
      </c>
      <c r="AM7" s="99">
        <v>629</v>
      </c>
      <c r="AN7" s="91">
        <v>21749553.759999998</v>
      </c>
      <c r="AO7" s="99">
        <v>11</v>
      </c>
      <c r="AP7" s="99">
        <v>10</v>
      </c>
      <c r="AQ7" s="84">
        <f>AP7/AO7</f>
        <v>0.90909090909090906</v>
      </c>
      <c r="AR7" s="159" t="str">
        <f t="shared" si="0"/>
        <v>OK</v>
      </c>
      <c r="AS7" s="16" t="s">
        <v>25</v>
      </c>
      <c r="AT7">
        <v>11</v>
      </c>
    </row>
    <row r="8" spans="1:46" x14ac:dyDescent="0.25">
      <c r="A8" s="16" t="s">
        <v>384</v>
      </c>
      <c r="B8" s="33"/>
      <c r="C8" s="33"/>
      <c r="D8" s="35"/>
      <c r="E8" s="35"/>
      <c r="F8" s="33"/>
      <c r="G8" s="33"/>
      <c r="H8" s="35"/>
      <c r="I8" s="33"/>
      <c r="J8" s="33"/>
      <c r="K8" s="26"/>
      <c r="L8" s="35"/>
      <c r="M8" s="33"/>
      <c r="N8" s="33"/>
      <c r="O8" s="35"/>
      <c r="P8" s="35"/>
      <c r="Q8" s="33"/>
      <c r="R8" s="33"/>
      <c r="S8" s="35"/>
      <c r="T8" s="75"/>
      <c r="U8" s="75"/>
      <c r="V8" s="26"/>
      <c r="W8" s="35"/>
      <c r="X8" s="33"/>
      <c r="Y8" s="33"/>
      <c r="Z8" s="35"/>
      <c r="AA8" s="75"/>
      <c r="AB8" s="75"/>
      <c r="AC8" s="26"/>
      <c r="AD8" s="35"/>
      <c r="AE8" s="33"/>
      <c r="AF8" s="33"/>
      <c r="AG8" s="35"/>
      <c r="AH8" s="75"/>
      <c r="AI8" s="75"/>
      <c r="AJ8" s="26"/>
      <c r="AK8" s="35"/>
      <c r="AL8" s="99"/>
      <c r="AM8" s="99"/>
      <c r="AN8" s="91"/>
      <c r="AO8" s="99"/>
      <c r="AP8" s="99"/>
      <c r="AQ8" s="84"/>
      <c r="AR8" s="159" t="str">
        <f t="shared" si="0"/>
        <v>No</v>
      </c>
      <c r="AS8" s="16"/>
    </row>
    <row r="9" spans="1:46" x14ac:dyDescent="0.25">
      <c r="A9" s="16" t="s">
        <v>1</v>
      </c>
      <c r="B9" s="33">
        <v>27</v>
      </c>
      <c r="C9" s="33">
        <v>596</v>
      </c>
      <c r="D9" s="35">
        <v>5451090.4899999984</v>
      </c>
      <c r="E9" s="35"/>
      <c r="F9" s="33">
        <v>26</v>
      </c>
      <c r="G9" s="33">
        <v>551</v>
      </c>
      <c r="H9" s="35">
        <v>4740776.6399999997</v>
      </c>
      <c r="I9" s="33">
        <v>43</v>
      </c>
      <c r="J9" s="33">
        <v>33</v>
      </c>
      <c r="K9" s="26">
        <v>0.76744186046511631</v>
      </c>
      <c r="L9" s="35"/>
      <c r="M9" s="33">
        <v>23</v>
      </c>
      <c r="N9" s="33">
        <v>573</v>
      </c>
      <c r="O9" s="35">
        <v>4298120.5100000007</v>
      </c>
      <c r="P9" s="35"/>
      <c r="Q9" s="33">
        <v>42</v>
      </c>
      <c r="R9" s="33">
        <v>534</v>
      </c>
      <c r="S9" s="35">
        <v>4409479.26</v>
      </c>
      <c r="T9" s="75">
        <v>46</v>
      </c>
      <c r="U9" s="75">
        <v>33</v>
      </c>
      <c r="V9" s="26">
        <v>0.71739130434782605</v>
      </c>
      <c r="W9" s="35"/>
      <c r="X9" s="33">
        <v>25</v>
      </c>
      <c r="Y9" s="33">
        <v>484</v>
      </c>
      <c r="Z9" s="35">
        <v>2468682.7699999996</v>
      </c>
      <c r="AA9" s="75">
        <v>81</v>
      </c>
      <c r="AB9" s="75">
        <v>31</v>
      </c>
      <c r="AC9" s="26">
        <v>0.38271604938271603</v>
      </c>
      <c r="AD9" s="35"/>
      <c r="AE9" s="33">
        <v>31</v>
      </c>
      <c r="AF9" s="33">
        <v>535</v>
      </c>
      <c r="AG9" s="35">
        <v>3042992.2</v>
      </c>
      <c r="AH9" s="75">
        <v>72</v>
      </c>
      <c r="AI9" s="75">
        <v>37</v>
      </c>
      <c r="AJ9" s="26">
        <v>0.51388888888888884</v>
      </c>
      <c r="AK9" s="35"/>
      <c r="AL9" s="99">
        <v>27</v>
      </c>
      <c r="AM9" s="99">
        <v>367</v>
      </c>
      <c r="AN9" s="91">
        <v>3728828.3200000003</v>
      </c>
      <c r="AO9" s="99">
        <v>78</v>
      </c>
      <c r="AP9" s="99">
        <v>35</v>
      </c>
      <c r="AQ9" s="84">
        <f t="shared" ref="AQ9:AQ24" si="1">AP9/AO9</f>
        <v>0.44871794871794873</v>
      </c>
      <c r="AR9" s="159" t="str">
        <f t="shared" si="0"/>
        <v>OK</v>
      </c>
      <c r="AS9" s="16" t="s">
        <v>1</v>
      </c>
      <c r="AT9">
        <v>78</v>
      </c>
    </row>
    <row r="10" spans="1:46" x14ac:dyDescent="0.25">
      <c r="A10" s="16" t="s">
        <v>2</v>
      </c>
      <c r="B10" s="33">
        <v>60</v>
      </c>
      <c r="C10" s="33">
        <v>1464</v>
      </c>
      <c r="D10" s="35">
        <v>2977497.3000000007</v>
      </c>
      <c r="E10" s="35"/>
      <c r="F10" s="33">
        <v>60</v>
      </c>
      <c r="G10" s="33">
        <v>1329</v>
      </c>
      <c r="H10" s="35">
        <v>2784578.4400000004</v>
      </c>
      <c r="I10" s="33">
        <v>79</v>
      </c>
      <c r="J10" s="33">
        <v>57</v>
      </c>
      <c r="K10" s="26">
        <v>0.72151898734177211</v>
      </c>
      <c r="L10" s="35"/>
      <c r="M10" s="33">
        <v>52</v>
      </c>
      <c r="N10" s="33">
        <v>1341</v>
      </c>
      <c r="O10" s="35">
        <v>2853917.6099999994</v>
      </c>
      <c r="P10" s="35"/>
      <c r="Q10" s="33">
        <v>35</v>
      </c>
      <c r="R10" s="33">
        <v>1058</v>
      </c>
      <c r="S10" s="35">
        <v>2567076.66</v>
      </c>
      <c r="T10" s="75">
        <v>47</v>
      </c>
      <c r="U10" s="75">
        <v>40</v>
      </c>
      <c r="V10" s="26">
        <v>0.85106382978723405</v>
      </c>
      <c r="W10" s="35"/>
      <c r="X10" s="33">
        <v>17</v>
      </c>
      <c r="Y10" s="33">
        <v>970</v>
      </c>
      <c r="Z10" s="35">
        <v>2115535.4000000004</v>
      </c>
      <c r="AA10" s="75">
        <v>122</v>
      </c>
      <c r="AB10" s="75">
        <v>69</v>
      </c>
      <c r="AC10" s="26">
        <v>0.56557377049180324</v>
      </c>
      <c r="AD10" s="35"/>
      <c r="AE10" s="33">
        <v>18</v>
      </c>
      <c r="AF10" s="33">
        <v>901</v>
      </c>
      <c r="AG10" s="35">
        <v>2309734.89</v>
      </c>
      <c r="AH10" s="75">
        <v>53</v>
      </c>
      <c r="AI10" s="75">
        <v>44</v>
      </c>
      <c r="AJ10" s="26">
        <v>0.83018867924528306</v>
      </c>
      <c r="AK10" s="35"/>
      <c r="AL10" s="99">
        <v>15</v>
      </c>
      <c r="AM10" s="99">
        <v>697</v>
      </c>
      <c r="AN10" s="91">
        <v>2085295.4199999997</v>
      </c>
      <c r="AO10" s="99">
        <v>49</v>
      </c>
      <c r="AP10" s="99">
        <v>42</v>
      </c>
      <c r="AQ10" s="84">
        <f t="shared" si="1"/>
        <v>0.8571428571428571</v>
      </c>
      <c r="AR10" s="159" t="str">
        <f t="shared" si="0"/>
        <v>OK</v>
      </c>
      <c r="AS10" s="16" t="s">
        <v>2</v>
      </c>
      <c r="AT10">
        <v>49</v>
      </c>
    </row>
    <row r="11" spans="1:46" x14ac:dyDescent="0.25">
      <c r="A11" s="16" t="s">
        <v>3</v>
      </c>
      <c r="B11" s="33">
        <v>1</v>
      </c>
      <c r="C11" s="33">
        <v>45</v>
      </c>
      <c r="D11" s="35">
        <v>64059.08</v>
      </c>
      <c r="E11" s="35"/>
      <c r="F11" s="33">
        <v>1</v>
      </c>
      <c r="G11" s="33">
        <v>56</v>
      </c>
      <c r="H11" s="35">
        <v>147813.32999999999</v>
      </c>
      <c r="I11" s="33">
        <v>2</v>
      </c>
      <c r="J11" s="33">
        <v>2</v>
      </c>
      <c r="K11" s="26">
        <v>1</v>
      </c>
      <c r="L11" s="35"/>
      <c r="M11" s="33">
        <v>1</v>
      </c>
      <c r="N11" s="33">
        <v>21</v>
      </c>
      <c r="O11" s="35">
        <v>81670.44</v>
      </c>
      <c r="P11" s="35"/>
      <c r="Q11" s="33">
        <v>2</v>
      </c>
      <c r="R11" s="33">
        <v>26</v>
      </c>
      <c r="S11" s="35">
        <v>57126.659999999996</v>
      </c>
      <c r="T11" s="75">
        <v>3</v>
      </c>
      <c r="U11" s="75">
        <v>2</v>
      </c>
      <c r="V11" s="26">
        <v>0.66666666666666663</v>
      </c>
      <c r="W11" s="35"/>
      <c r="X11" s="33">
        <v>1</v>
      </c>
      <c r="Y11" s="33">
        <v>25</v>
      </c>
      <c r="Z11" s="35">
        <v>30515.87</v>
      </c>
      <c r="AA11" s="75">
        <v>4</v>
      </c>
      <c r="AB11" s="75">
        <v>3</v>
      </c>
      <c r="AC11" s="26">
        <v>0.75</v>
      </c>
      <c r="AD11" s="35"/>
      <c r="AE11" s="33">
        <v>1</v>
      </c>
      <c r="AF11" s="33">
        <v>23</v>
      </c>
      <c r="AG11" s="35">
        <v>5499945.7800000003</v>
      </c>
      <c r="AH11" s="75">
        <v>2</v>
      </c>
      <c r="AI11" s="75">
        <v>2</v>
      </c>
      <c r="AJ11" s="26">
        <v>1</v>
      </c>
      <c r="AK11" s="35"/>
      <c r="AL11" s="99">
        <v>1</v>
      </c>
      <c r="AM11" s="99">
        <v>19</v>
      </c>
      <c r="AN11" s="91">
        <v>217833.23</v>
      </c>
      <c r="AO11" s="99">
        <v>2</v>
      </c>
      <c r="AP11" s="99">
        <v>1</v>
      </c>
      <c r="AQ11" s="84">
        <f t="shared" si="1"/>
        <v>0.5</v>
      </c>
      <c r="AR11" s="159" t="str">
        <f t="shared" si="0"/>
        <v>OK</v>
      </c>
      <c r="AS11" s="16" t="s">
        <v>3</v>
      </c>
      <c r="AT11">
        <v>2</v>
      </c>
    </row>
    <row r="12" spans="1:46" x14ac:dyDescent="0.25">
      <c r="A12" s="16" t="s">
        <v>32</v>
      </c>
      <c r="B12" s="33">
        <v>1</v>
      </c>
      <c r="C12" s="33">
        <v>21</v>
      </c>
      <c r="D12" s="35">
        <v>84875.18</v>
      </c>
      <c r="E12" s="35"/>
      <c r="F12" s="33">
        <v>1</v>
      </c>
      <c r="G12" s="33">
        <v>17</v>
      </c>
      <c r="H12" s="35">
        <v>98596.43</v>
      </c>
      <c r="I12" s="33">
        <v>1</v>
      </c>
      <c r="J12" s="33">
        <v>0</v>
      </c>
      <c r="K12" s="26">
        <v>0</v>
      </c>
      <c r="L12" s="35"/>
      <c r="M12" s="33">
        <v>2</v>
      </c>
      <c r="N12" s="33">
        <v>36</v>
      </c>
      <c r="O12" s="35">
        <v>60995.119999999995</v>
      </c>
      <c r="P12" s="35"/>
      <c r="Q12" s="33">
        <v>1</v>
      </c>
      <c r="R12" s="33">
        <v>42</v>
      </c>
      <c r="S12" s="35">
        <v>102396.71</v>
      </c>
      <c r="T12" s="75">
        <v>1</v>
      </c>
      <c r="U12" s="75">
        <v>1</v>
      </c>
      <c r="V12" s="26">
        <v>1</v>
      </c>
      <c r="W12" s="35"/>
      <c r="X12" s="33">
        <v>1</v>
      </c>
      <c r="Y12" s="33">
        <v>33</v>
      </c>
      <c r="Z12" s="35">
        <v>84197.51</v>
      </c>
      <c r="AA12" s="75">
        <v>4</v>
      </c>
      <c r="AB12" s="75">
        <v>2</v>
      </c>
      <c r="AC12" s="26">
        <v>0.5</v>
      </c>
      <c r="AD12" s="35"/>
      <c r="AE12" s="33">
        <v>1</v>
      </c>
      <c r="AF12" s="33">
        <v>49</v>
      </c>
      <c r="AG12" s="35">
        <v>64675.92</v>
      </c>
      <c r="AH12" s="75">
        <v>3</v>
      </c>
      <c r="AI12" s="75">
        <v>1</v>
      </c>
      <c r="AJ12" s="26">
        <v>0.33333333333333331</v>
      </c>
      <c r="AK12" s="35"/>
      <c r="AL12" s="99">
        <v>1</v>
      </c>
      <c r="AM12" s="99">
        <v>37</v>
      </c>
      <c r="AN12" s="91">
        <v>71768.75</v>
      </c>
      <c r="AO12" s="99">
        <v>3</v>
      </c>
      <c r="AP12" s="99">
        <v>2</v>
      </c>
      <c r="AQ12" s="84">
        <f t="shared" si="1"/>
        <v>0.66666666666666663</v>
      </c>
      <c r="AR12" s="159" t="str">
        <f t="shared" si="0"/>
        <v>OK</v>
      </c>
      <c r="AS12" s="16" t="s">
        <v>32</v>
      </c>
      <c r="AT12">
        <v>3</v>
      </c>
    </row>
    <row r="13" spans="1:46" x14ac:dyDescent="0.25">
      <c r="A13" s="16" t="s">
        <v>22</v>
      </c>
      <c r="B13" s="33">
        <v>3</v>
      </c>
      <c r="C13" s="33">
        <v>125</v>
      </c>
      <c r="D13" s="35">
        <v>173733.18</v>
      </c>
      <c r="E13" s="35"/>
      <c r="F13" s="33">
        <v>3</v>
      </c>
      <c r="G13" s="33">
        <v>208</v>
      </c>
      <c r="H13" s="35">
        <v>166815.89000000001</v>
      </c>
      <c r="I13" s="33">
        <v>3</v>
      </c>
      <c r="J13" s="33">
        <v>1</v>
      </c>
      <c r="K13" s="26">
        <v>0.33333333333333331</v>
      </c>
      <c r="L13" s="35"/>
      <c r="M13" s="33">
        <v>3</v>
      </c>
      <c r="N13" s="33">
        <v>182</v>
      </c>
      <c r="O13" s="35">
        <v>520017.94</v>
      </c>
      <c r="P13" s="35"/>
      <c r="Q13" s="33">
        <v>5</v>
      </c>
      <c r="R13" s="33">
        <v>120</v>
      </c>
      <c r="S13" s="35">
        <v>1323739.5</v>
      </c>
      <c r="T13" s="75">
        <v>5</v>
      </c>
      <c r="U13" s="75">
        <v>4</v>
      </c>
      <c r="V13" s="26">
        <v>0.8</v>
      </c>
      <c r="W13" s="35"/>
      <c r="X13" s="33">
        <v>3</v>
      </c>
      <c r="Y13" s="33">
        <v>96</v>
      </c>
      <c r="Z13" s="35">
        <v>412937.47000000003</v>
      </c>
      <c r="AA13" s="75">
        <v>23</v>
      </c>
      <c r="AB13" s="75">
        <v>11</v>
      </c>
      <c r="AC13" s="26">
        <v>0.47826086956521741</v>
      </c>
      <c r="AD13" s="35"/>
      <c r="AE13" s="33">
        <v>4</v>
      </c>
      <c r="AF13" s="33">
        <v>174</v>
      </c>
      <c r="AG13" s="35">
        <v>2381984.37</v>
      </c>
      <c r="AH13" s="75">
        <v>14</v>
      </c>
      <c r="AI13" s="75">
        <v>11</v>
      </c>
      <c r="AJ13" s="26">
        <v>0.7857142857142857</v>
      </c>
      <c r="AK13" s="35"/>
      <c r="AL13" s="99">
        <v>4</v>
      </c>
      <c r="AM13" s="99">
        <v>149</v>
      </c>
      <c r="AN13" s="91">
        <v>2764535.04</v>
      </c>
      <c r="AO13" s="99">
        <v>14</v>
      </c>
      <c r="AP13" s="99">
        <v>11</v>
      </c>
      <c r="AQ13" s="84">
        <f t="shared" si="1"/>
        <v>0.7857142857142857</v>
      </c>
      <c r="AR13" s="159" t="str">
        <f t="shared" si="0"/>
        <v>No</v>
      </c>
      <c r="AS13" s="16" t="s">
        <v>319</v>
      </c>
      <c r="AT13">
        <v>14</v>
      </c>
    </row>
    <row r="14" spans="1:46" x14ac:dyDescent="0.25">
      <c r="A14" s="16" t="s">
        <v>4</v>
      </c>
      <c r="B14" s="33">
        <v>24</v>
      </c>
      <c r="C14" s="33">
        <v>918</v>
      </c>
      <c r="D14" s="35">
        <v>9952747.8600000031</v>
      </c>
      <c r="E14" s="35"/>
      <c r="F14" s="33">
        <v>23</v>
      </c>
      <c r="G14" s="33">
        <v>970</v>
      </c>
      <c r="H14" s="35">
        <v>10891462.359999998</v>
      </c>
      <c r="I14" s="33">
        <v>39</v>
      </c>
      <c r="J14" s="33">
        <v>26</v>
      </c>
      <c r="K14" s="26">
        <v>0.66666666666666663</v>
      </c>
      <c r="L14" s="35"/>
      <c r="M14" s="33">
        <v>20</v>
      </c>
      <c r="N14" s="33">
        <v>936</v>
      </c>
      <c r="O14" s="35">
        <v>10796059.160000004</v>
      </c>
      <c r="P14" s="35"/>
      <c r="Q14" s="33">
        <v>40</v>
      </c>
      <c r="R14" s="33">
        <v>911</v>
      </c>
      <c r="S14" s="35">
        <v>11514907.599999998</v>
      </c>
      <c r="T14" s="75">
        <v>40</v>
      </c>
      <c r="U14" s="75">
        <v>28</v>
      </c>
      <c r="V14" s="26">
        <v>0.7</v>
      </c>
      <c r="W14" s="35"/>
      <c r="X14" s="33">
        <v>24</v>
      </c>
      <c r="Y14" s="33">
        <v>866</v>
      </c>
      <c r="Z14" s="35">
        <v>13087911.250000002</v>
      </c>
      <c r="AA14" s="75">
        <v>63</v>
      </c>
      <c r="AB14" s="75">
        <v>40</v>
      </c>
      <c r="AC14" s="26">
        <v>0.63492063492063489</v>
      </c>
      <c r="AD14" s="35"/>
      <c r="AE14" s="33">
        <v>20</v>
      </c>
      <c r="AF14" s="33">
        <v>799</v>
      </c>
      <c r="AG14" s="35">
        <v>13388259.35</v>
      </c>
      <c r="AH14" s="75">
        <v>47</v>
      </c>
      <c r="AI14" s="75">
        <v>27</v>
      </c>
      <c r="AJ14" s="26">
        <v>0.57446808510638303</v>
      </c>
      <c r="AK14" s="35"/>
      <c r="AL14" s="99">
        <v>19</v>
      </c>
      <c r="AM14" s="99">
        <v>611</v>
      </c>
      <c r="AN14" s="91">
        <v>13779036.299999999</v>
      </c>
      <c r="AO14" s="99">
        <v>51</v>
      </c>
      <c r="AP14" s="99">
        <v>36</v>
      </c>
      <c r="AQ14" s="84">
        <f t="shared" si="1"/>
        <v>0.70588235294117652</v>
      </c>
      <c r="AR14" s="159" t="str">
        <f t="shared" si="0"/>
        <v>OK</v>
      </c>
      <c r="AS14" s="16" t="s">
        <v>4</v>
      </c>
      <c r="AT14">
        <v>51</v>
      </c>
    </row>
    <row r="15" spans="1:46" x14ac:dyDescent="0.25">
      <c r="A15" s="16" t="s">
        <v>27</v>
      </c>
      <c r="B15" s="33">
        <v>16</v>
      </c>
      <c r="C15" s="33">
        <v>2378</v>
      </c>
      <c r="D15" s="35">
        <v>5488567.21</v>
      </c>
      <c r="E15" s="35"/>
      <c r="F15" s="33">
        <v>12</v>
      </c>
      <c r="G15" s="33">
        <v>2148</v>
      </c>
      <c r="H15" s="35">
        <v>6228697.5300000003</v>
      </c>
      <c r="I15" s="33">
        <v>14</v>
      </c>
      <c r="J15" s="33">
        <v>12</v>
      </c>
      <c r="K15" s="26">
        <v>0.8571428571428571</v>
      </c>
      <c r="L15" s="35"/>
      <c r="M15" s="33">
        <v>12</v>
      </c>
      <c r="N15" s="33">
        <v>2044</v>
      </c>
      <c r="O15" s="35">
        <v>4275886.92</v>
      </c>
      <c r="P15" s="35"/>
      <c r="Q15" s="33">
        <v>22</v>
      </c>
      <c r="R15" s="33">
        <v>1931</v>
      </c>
      <c r="S15" s="35">
        <v>4079213.63</v>
      </c>
      <c r="T15" s="75">
        <v>19</v>
      </c>
      <c r="U15" s="75">
        <v>17</v>
      </c>
      <c r="V15" s="26">
        <v>0.89473684210526316</v>
      </c>
      <c r="W15" s="35"/>
      <c r="X15" s="33">
        <v>12</v>
      </c>
      <c r="Y15" s="33">
        <v>1956</v>
      </c>
      <c r="Z15" s="35">
        <v>4323879.62</v>
      </c>
      <c r="AA15" s="75">
        <v>25</v>
      </c>
      <c r="AB15" s="75">
        <v>12</v>
      </c>
      <c r="AC15" s="26">
        <v>0.48</v>
      </c>
      <c r="AD15" s="35"/>
      <c r="AE15" s="33">
        <v>15</v>
      </c>
      <c r="AF15" s="33">
        <v>1961</v>
      </c>
      <c r="AG15" s="35">
        <v>4459291.7300000004</v>
      </c>
      <c r="AH15" s="75">
        <v>21</v>
      </c>
      <c r="AI15" s="75">
        <v>13</v>
      </c>
      <c r="AJ15" s="26">
        <v>0.61904761904761907</v>
      </c>
      <c r="AK15" s="35"/>
      <c r="AL15" s="99">
        <v>10</v>
      </c>
      <c r="AM15" s="99">
        <v>711</v>
      </c>
      <c r="AN15" s="91">
        <v>3178823.0999999996</v>
      </c>
      <c r="AO15" s="99">
        <v>20</v>
      </c>
      <c r="AP15" s="99">
        <v>11</v>
      </c>
      <c r="AQ15" s="84">
        <f t="shared" si="1"/>
        <v>0.55000000000000004</v>
      </c>
      <c r="AR15" s="159" t="str">
        <f t="shared" si="0"/>
        <v>OK</v>
      </c>
      <c r="AS15" s="16" t="s">
        <v>27</v>
      </c>
      <c r="AT15">
        <v>20</v>
      </c>
    </row>
    <row r="16" spans="1:46" x14ac:dyDescent="0.25">
      <c r="A16" s="16" t="s">
        <v>28</v>
      </c>
      <c r="B16" s="33">
        <v>20</v>
      </c>
      <c r="C16" s="33">
        <v>2184</v>
      </c>
      <c r="D16" s="35">
        <v>232226289.58999997</v>
      </c>
      <c r="E16" s="35"/>
      <c r="F16" s="33">
        <v>17</v>
      </c>
      <c r="G16" s="33">
        <v>2030</v>
      </c>
      <c r="H16" s="35">
        <v>250380403.08000001</v>
      </c>
      <c r="I16" s="33">
        <v>32</v>
      </c>
      <c r="J16" s="33">
        <v>27</v>
      </c>
      <c r="K16" s="26">
        <v>0.84375</v>
      </c>
      <c r="L16" s="35"/>
      <c r="M16" s="33">
        <v>17</v>
      </c>
      <c r="N16" s="33">
        <v>2010</v>
      </c>
      <c r="O16" s="35">
        <v>241633541.72999999</v>
      </c>
      <c r="P16" s="35"/>
      <c r="Q16" s="33">
        <v>18</v>
      </c>
      <c r="R16" s="33">
        <v>1957</v>
      </c>
      <c r="S16" s="35">
        <v>258905062.63999999</v>
      </c>
      <c r="T16" s="75">
        <v>28</v>
      </c>
      <c r="U16" s="75">
        <v>23</v>
      </c>
      <c r="V16" s="26">
        <v>0.8214285714285714</v>
      </c>
      <c r="W16" s="35"/>
      <c r="X16" s="33">
        <v>15</v>
      </c>
      <c r="Y16" s="33">
        <v>2021</v>
      </c>
      <c r="Z16" s="35">
        <v>269399020.66000003</v>
      </c>
      <c r="AA16" s="75">
        <v>45</v>
      </c>
      <c r="AB16" s="75">
        <v>27</v>
      </c>
      <c r="AC16" s="26">
        <v>0.6</v>
      </c>
      <c r="AD16" s="35"/>
      <c r="AE16" s="33">
        <v>12</v>
      </c>
      <c r="AF16" s="33">
        <v>2146</v>
      </c>
      <c r="AG16" s="35">
        <v>270172069.56</v>
      </c>
      <c r="AH16" s="75">
        <v>31</v>
      </c>
      <c r="AI16" s="75">
        <v>24</v>
      </c>
      <c r="AJ16" s="26">
        <v>0.77419354838709675</v>
      </c>
      <c r="AK16" s="35"/>
      <c r="AL16" s="99">
        <v>12</v>
      </c>
      <c r="AM16" s="99">
        <v>1748</v>
      </c>
      <c r="AN16" s="91">
        <v>278367345.01999992</v>
      </c>
      <c r="AO16" s="99">
        <v>33</v>
      </c>
      <c r="AP16" s="99">
        <v>27</v>
      </c>
      <c r="AQ16" s="84">
        <f t="shared" si="1"/>
        <v>0.81818181818181823</v>
      </c>
      <c r="AR16" s="159" t="str">
        <f t="shared" si="0"/>
        <v>OK</v>
      </c>
      <c r="AS16" s="16" t="s">
        <v>28</v>
      </c>
      <c r="AT16">
        <v>33</v>
      </c>
    </row>
    <row r="17" spans="1:46" x14ac:dyDescent="0.25">
      <c r="A17" s="16" t="s">
        <v>5</v>
      </c>
      <c r="B17" s="33">
        <v>1</v>
      </c>
      <c r="C17" s="33">
        <v>41</v>
      </c>
      <c r="D17" s="35">
        <v>201322.99</v>
      </c>
      <c r="E17" s="35"/>
      <c r="F17" s="33">
        <v>1</v>
      </c>
      <c r="G17" s="33">
        <v>47</v>
      </c>
      <c r="H17" s="35">
        <v>27807.7</v>
      </c>
      <c r="I17" s="33">
        <v>2</v>
      </c>
      <c r="J17" s="33">
        <v>1</v>
      </c>
      <c r="K17" s="26">
        <v>0.5</v>
      </c>
      <c r="L17" s="35"/>
      <c r="M17" s="33">
        <v>1</v>
      </c>
      <c r="N17" s="33">
        <v>40</v>
      </c>
      <c r="O17" s="35">
        <v>37097.089999999997</v>
      </c>
      <c r="P17" s="35"/>
      <c r="Q17" s="33">
        <v>2</v>
      </c>
      <c r="R17" s="33">
        <v>29</v>
      </c>
      <c r="S17" s="35">
        <v>22430.34</v>
      </c>
      <c r="T17" s="75">
        <v>1</v>
      </c>
      <c r="U17" s="75">
        <v>1</v>
      </c>
      <c r="V17" s="26">
        <v>1</v>
      </c>
      <c r="W17" s="35"/>
      <c r="X17" s="33">
        <v>1</v>
      </c>
      <c r="Y17" s="33">
        <v>36</v>
      </c>
      <c r="Z17" s="35">
        <v>34761.550000000003</v>
      </c>
      <c r="AA17" s="75">
        <v>4</v>
      </c>
      <c r="AB17" s="75">
        <v>3</v>
      </c>
      <c r="AC17" s="26">
        <v>0.75</v>
      </c>
      <c r="AD17" s="35"/>
      <c r="AE17" s="33">
        <v>1</v>
      </c>
      <c r="AF17" s="33">
        <v>41</v>
      </c>
      <c r="AG17" s="35">
        <v>251451.1</v>
      </c>
      <c r="AH17" s="75">
        <v>2</v>
      </c>
      <c r="AI17" s="75">
        <v>1</v>
      </c>
      <c r="AJ17" s="26">
        <v>0.5</v>
      </c>
      <c r="AK17" s="35"/>
      <c r="AL17" s="99">
        <v>1</v>
      </c>
      <c r="AM17" s="99">
        <v>26</v>
      </c>
      <c r="AN17" s="91">
        <v>242719.37</v>
      </c>
      <c r="AO17" s="99">
        <v>2</v>
      </c>
      <c r="AP17" s="99">
        <v>2</v>
      </c>
      <c r="AQ17" s="84">
        <f t="shared" si="1"/>
        <v>1</v>
      </c>
      <c r="AR17" s="159" t="str">
        <f t="shared" si="0"/>
        <v>OK</v>
      </c>
      <c r="AS17" s="16" t="s">
        <v>5</v>
      </c>
      <c r="AT17">
        <v>2</v>
      </c>
    </row>
    <row r="18" spans="1:46" x14ac:dyDescent="0.25">
      <c r="A18" s="16" t="s">
        <v>21</v>
      </c>
      <c r="B18" s="33">
        <v>37</v>
      </c>
      <c r="C18" s="33">
        <v>4207</v>
      </c>
      <c r="D18" s="35">
        <v>146826975.43000007</v>
      </c>
      <c r="E18" s="35"/>
      <c r="F18" s="33">
        <v>38</v>
      </c>
      <c r="G18" s="33">
        <v>5403</v>
      </c>
      <c r="H18" s="35">
        <v>134156426.62000002</v>
      </c>
      <c r="I18" s="33">
        <v>48</v>
      </c>
      <c r="J18" s="33">
        <v>30</v>
      </c>
      <c r="K18" s="26">
        <v>0.625</v>
      </c>
      <c r="L18" s="35"/>
      <c r="M18" s="33">
        <v>37</v>
      </c>
      <c r="N18" s="33">
        <v>6136</v>
      </c>
      <c r="O18" s="35">
        <v>142729757.20000002</v>
      </c>
      <c r="P18" s="35"/>
      <c r="Q18" s="33">
        <v>58</v>
      </c>
      <c r="R18" s="33">
        <v>5118</v>
      </c>
      <c r="S18" s="35">
        <v>100077256.58</v>
      </c>
      <c r="T18" s="75">
        <v>48</v>
      </c>
      <c r="U18" s="75">
        <v>27</v>
      </c>
      <c r="V18" s="26">
        <v>0.5625</v>
      </c>
      <c r="W18" s="35"/>
      <c r="X18" s="33">
        <v>39</v>
      </c>
      <c r="Y18" s="33">
        <v>5993</v>
      </c>
      <c r="Z18" s="35">
        <v>123133998.39</v>
      </c>
      <c r="AA18" s="75">
        <v>160</v>
      </c>
      <c r="AB18" s="75">
        <v>73</v>
      </c>
      <c r="AC18" s="26">
        <v>0.45624999999999999</v>
      </c>
      <c r="AD18" s="35"/>
      <c r="AE18" s="33">
        <v>41</v>
      </c>
      <c r="AF18" s="33">
        <v>6158</v>
      </c>
      <c r="AG18" s="35">
        <v>108986967.89999999</v>
      </c>
      <c r="AH18" s="75">
        <v>81</v>
      </c>
      <c r="AI18" s="75">
        <v>41</v>
      </c>
      <c r="AJ18" s="26">
        <v>0.50617283950617287</v>
      </c>
      <c r="AK18" s="35"/>
      <c r="AL18" s="99">
        <v>68</v>
      </c>
      <c r="AM18" s="99">
        <v>9915</v>
      </c>
      <c r="AN18" s="91">
        <v>102789843.43999998</v>
      </c>
      <c r="AO18" s="99">
        <v>133</v>
      </c>
      <c r="AP18" s="99">
        <v>59</v>
      </c>
      <c r="AQ18" s="84">
        <f t="shared" si="1"/>
        <v>0.44360902255639095</v>
      </c>
      <c r="AR18" s="159" t="str">
        <f t="shared" si="0"/>
        <v>No</v>
      </c>
      <c r="AS18" s="16" t="s">
        <v>356</v>
      </c>
      <c r="AT18">
        <v>133</v>
      </c>
    </row>
    <row r="19" spans="1:46" x14ac:dyDescent="0.25">
      <c r="A19" s="16" t="s">
        <v>7</v>
      </c>
      <c r="B19" s="33">
        <v>1</v>
      </c>
      <c r="C19" s="33">
        <v>276</v>
      </c>
      <c r="D19" s="35">
        <v>4324659.3099999996</v>
      </c>
      <c r="E19" s="35"/>
      <c r="F19" s="33">
        <v>1</v>
      </c>
      <c r="G19" s="33">
        <v>305</v>
      </c>
      <c r="H19" s="35">
        <v>4643415.29</v>
      </c>
      <c r="I19" s="33">
        <v>3</v>
      </c>
      <c r="J19" s="33">
        <v>2</v>
      </c>
      <c r="K19" s="26">
        <v>0.66666666666666663</v>
      </c>
      <c r="L19" s="35"/>
      <c r="M19" s="33">
        <v>1</v>
      </c>
      <c r="N19" s="33">
        <v>266</v>
      </c>
      <c r="O19" s="35">
        <v>2894345.99</v>
      </c>
      <c r="P19" s="35"/>
      <c r="Q19" s="33">
        <v>2</v>
      </c>
      <c r="R19" s="33">
        <v>255</v>
      </c>
      <c r="S19" s="35">
        <v>2600692.21</v>
      </c>
      <c r="T19" s="75">
        <v>2</v>
      </c>
      <c r="U19" s="75">
        <v>2</v>
      </c>
      <c r="V19" s="26">
        <v>1</v>
      </c>
      <c r="W19" s="35"/>
      <c r="X19" s="33">
        <v>2</v>
      </c>
      <c r="Y19" s="33">
        <v>219</v>
      </c>
      <c r="Z19" s="35">
        <v>2487160.98</v>
      </c>
      <c r="AA19" s="75">
        <v>4</v>
      </c>
      <c r="AB19" s="75">
        <v>4</v>
      </c>
      <c r="AC19" s="26">
        <v>1</v>
      </c>
      <c r="AD19" s="35"/>
      <c r="AE19" s="33">
        <v>2</v>
      </c>
      <c r="AF19" s="33">
        <v>181</v>
      </c>
      <c r="AG19" s="35">
        <v>1639813.72</v>
      </c>
      <c r="AH19" s="75">
        <v>4</v>
      </c>
      <c r="AI19" s="75">
        <v>4</v>
      </c>
      <c r="AJ19" s="26">
        <v>1</v>
      </c>
      <c r="AK19" s="35"/>
      <c r="AL19" s="99">
        <v>2</v>
      </c>
      <c r="AM19" s="99">
        <v>152</v>
      </c>
      <c r="AN19" s="91">
        <v>1079945.97</v>
      </c>
      <c r="AO19" s="99">
        <v>4</v>
      </c>
      <c r="AP19" s="99">
        <v>4</v>
      </c>
      <c r="AQ19" s="84">
        <f t="shared" si="1"/>
        <v>1</v>
      </c>
      <c r="AR19" s="159" t="str">
        <f t="shared" si="0"/>
        <v>OK</v>
      </c>
      <c r="AS19" t="s">
        <v>7</v>
      </c>
      <c r="AT19">
        <v>4</v>
      </c>
    </row>
    <row r="20" spans="1:46" x14ac:dyDescent="0.25">
      <c r="A20" s="16" t="s">
        <v>6</v>
      </c>
      <c r="B20" s="33">
        <v>1</v>
      </c>
      <c r="C20" s="33">
        <v>512</v>
      </c>
      <c r="D20" s="35">
        <v>2914201.44</v>
      </c>
      <c r="E20" s="35"/>
      <c r="F20" s="33">
        <v>1</v>
      </c>
      <c r="G20" s="33">
        <v>460</v>
      </c>
      <c r="H20" s="35">
        <v>2876060.41</v>
      </c>
      <c r="I20" s="33">
        <v>2</v>
      </c>
      <c r="J20" s="33">
        <v>2</v>
      </c>
      <c r="K20" s="26">
        <v>1</v>
      </c>
      <c r="L20" s="35"/>
      <c r="M20" s="33">
        <v>2</v>
      </c>
      <c r="N20" s="33">
        <v>396</v>
      </c>
      <c r="O20" s="35">
        <v>2746256.9099999997</v>
      </c>
      <c r="P20" s="35"/>
      <c r="Q20" s="33">
        <v>1</v>
      </c>
      <c r="R20" s="33">
        <v>398</v>
      </c>
      <c r="S20" s="35">
        <v>2629372.67</v>
      </c>
      <c r="T20" s="75">
        <v>1</v>
      </c>
      <c r="U20" s="75">
        <v>1</v>
      </c>
      <c r="V20" s="26">
        <v>1</v>
      </c>
      <c r="W20" s="35"/>
      <c r="X20" s="33">
        <v>1</v>
      </c>
      <c r="Y20" s="33">
        <v>284</v>
      </c>
      <c r="Z20" s="35">
        <v>2487300.25</v>
      </c>
      <c r="AA20" s="75">
        <v>6</v>
      </c>
      <c r="AB20" s="75">
        <v>2</v>
      </c>
      <c r="AC20" s="26">
        <v>0.33333333333333331</v>
      </c>
      <c r="AD20" s="35"/>
      <c r="AE20" s="33">
        <v>1</v>
      </c>
      <c r="AF20" s="33">
        <v>254</v>
      </c>
      <c r="AG20" s="35">
        <v>2438463.8199999998</v>
      </c>
      <c r="AH20" s="75">
        <v>3</v>
      </c>
      <c r="AI20" s="75">
        <v>1</v>
      </c>
      <c r="AJ20" s="26">
        <v>0.33333333333333331</v>
      </c>
      <c r="AK20" s="35"/>
      <c r="AL20" s="99">
        <v>1</v>
      </c>
      <c r="AM20" s="99">
        <v>225</v>
      </c>
      <c r="AN20" s="91">
        <v>1992851.1100000006</v>
      </c>
      <c r="AO20" s="99">
        <v>6</v>
      </c>
      <c r="AP20" s="99">
        <v>5</v>
      </c>
      <c r="AQ20" s="84">
        <f t="shared" si="1"/>
        <v>0.83333333333333337</v>
      </c>
      <c r="AR20" s="159" t="str">
        <f t="shared" si="0"/>
        <v>OK</v>
      </c>
      <c r="AS20" t="s">
        <v>6</v>
      </c>
      <c r="AT20">
        <v>6</v>
      </c>
    </row>
    <row r="21" spans="1:46" x14ac:dyDescent="0.25">
      <c r="A21" s="16" t="s">
        <v>29</v>
      </c>
      <c r="B21" s="33">
        <v>1</v>
      </c>
      <c r="C21" s="33">
        <v>7</v>
      </c>
      <c r="D21" s="35">
        <v>17367.07</v>
      </c>
      <c r="E21" s="35"/>
      <c r="F21" s="33">
        <v>1</v>
      </c>
      <c r="G21" s="33">
        <v>1</v>
      </c>
      <c r="H21" s="35">
        <v>225</v>
      </c>
      <c r="I21" s="33"/>
      <c r="J21" s="33"/>
      <c r="K21" s="26"/>
      <c r="L21" s="35"/>
      <c r="M21" s="33">
        <v>1</v>
      </c>
      <c r="N21" s="33">
        <v>3</v>
      </c>
      <c r="O21" s="35">
        <v>1319.88</v>
      </c>
      <c r="P21" s="35"/>
      <c r="Q21" s="33">
        <v>2</v>
      </c>
      <c r="R21" s="33">
        <v>4</v>
      </c>
      <c r="S21" s="35">
        <v>3960.7</v>
      </c>
      <c r="T21" s="75">
        <v>1</v>
      </c>
      <c r="U21" s="75">
        <v>1</v>
      </c>
      <c r="V21" s="26">
        <v>1</v>
      </c>
      <c r="W21" s="35"/>
      <c r="X21" s="33">
        <v>1</v>
      </c>
      <c r="Y21" s="33">
        <v>4</v>
      </c>
      <c r="Z21" s="35">
        <v>2742.07</v>
      </c>
      <c r="AA21" s="75">
        <v>1</v>
      </c>
      <c r="AB21" s="75">
        <v>1</v>
      </c>
      <c r="AC21" s="26">
        <v>1</v>
      </c>
      <c r="AD21" s="35"/>
      <c r="AE21" s="33">
        <v>1</v>
      </c>
      <c r="AF21" s="33">
        <v>3</v>
      </c>
      <c r="AG21" s="35">
        <v>633.19000000000005</v>
      </c>
      <c r="AH21" s="75">
        <v>1</v>
      </c>
      <c r="AI21" s="75">
        <v>1</v>
      </c>
      <c r="AJ21" s="26">
        <v>1</v>
      </c>
      <c r="AK21" s="35"/>
      <c r="AL21" s="99">
        <v>1</v>
      </c>
      <c r="AM21" s="99">
        <v>3</v>
      </c>
      <c r="AN21" s="91">
        <v>2109.59</v>
      </c>
      <c r="AO21" s="99">
        <v>1</v>
      </c>
      <c r="AP21" s="99">
        <v>1</v>
      </c>
      <c r="AQ21" s="84">
        <f t="shared" si="1"/>
        <v>1</v>
      </c>
      <c r="AR21" s="159" t="str">
        <f t="shared" si="0"/>
        <v>OK</v>
      </c>
      <c r="AS21" t="s">
        <v>29</v>
      </c>
      <c r="AT21">
        <v>1</v>
      </c>
    </row>
    <row r="22" spans="1:46" x14ac:dyDescent="0.25">
      <c r="A22" s="16" t="s">
        <v>8</v>
      </c>
      <c r="B22" s="33">
        <v>9</v>
      </c>
      <c r="C22" s="33">
        <v>382</v>
      </c>
      <c r="D22" s="35">
        <v>1334094.6200000001</v>
      </c>
      <c r="E22" s="35"/>
      <c r="F22" s="33">
        <v>8</v>
      </c>
      <c r="G22" s="33">
        <v>327</v>
      </c>
      <c r="H22" s="35">
        <v>1615335.18</v>
      </c>
      <c r="I22" s="33">
        <v>18</v>
      </c>
      <c r="J22" s="33">
        <v>15</v>
      </c>
      <c r="K22" s="26">
        <v>0.83333333333333337</v>
      </c>
      <c r="L22" s="35"/>
      <c r="M22" s="33">
        <v>8</v>
      </c>
      <c r="N22" s="33">
        <v>355</v>
      </c>
      <c r="O22" s="35">
        <v>1448987.8900000001</v>
      </c>
      <c r="P22" s="35"/>
      <c r="Q22" s="33">
        <v>15</v>
      </c>
      <c r="R22" s="33">
        <v>309</v>
      </c>
      <c r="S22" s="35">
        <v>1253603.8099999998</v>
      </c>
      <c r="T22" s="75">
        <v>17</v>
      </c>
      <c r="U22" s="75">
        <v>9</v>
      </c>
      <c r="V22" s="26">
        <v>0.52941176470588236</v>
      </c>
      <c r="W22" s="35"/>
      <c r="X22" s="33">
        <v>8</v>
      </c>
      <c r="Y22" s="33">
        <v>308</v>
      </c>
      <c r="Z22" s="35">
        <v>992546.26</v>
      </c>
      <c r="AA22" s="75">
        <v>22</v>
      </c>
      <c r="AB22" s="75">
        <v>11</v>
      </c>
      <c r="AC22" s="26">
        <v>0.5</v>
      </c>
      <c r="AD22" s="35"/>
      <c r="AE22" s="33">
        <v>9</v>
      </c>
      <c r="AF22" s="33">
        <v>239</v>
      </c>
      <c r="AG22" s="35">
        <v>1650476.4099999997</v>
      </c>
      <c r="AH22" s="75">
        <v>5</v>
      </c>
      <c r="AI22" s="75">
        <v>2</v>
      </c>
      <c r="AJ22" s="26">
        <v>0.4</v>
      </c>
      <c r="AK22" s="35"/>
      <c r="AL22" s="99">
        <v>1</v>
      </c>
      <c r="AM22" s="99">
        <v>156</v>
      </c>
      <c r="AN22" s="91">
        <v>961040.53</v>
      </c>
      <c r="AO22" s="99">
        <v>5</v>
      </c>
      <c r="AP22" s="99">
        <v>2</v>
      </c>
      <c r="AQ22" s="84">
        <f t="shared" si="1"/>
        <v>0.4</v>
      </c>
      <c r="AR22" s="159" t="str">
        <f t="shared" si="0"/>
        <v>OK</v>
      </c>
      <c r="AS22" t="s">
        <v>8</v>
      </c>
      <c r="AT22">
        <v>5</v>
      </c>
    </row>
    <row r="23" spans="1:46" x14ac:dyDescent="0.25">
      <c r="A23" s="16" t="s">
        <v>9</v>
      </c>
      <c r="B23" s="33">
        <v>1</v>
      </c>
      <c r="C23" s="33">
        <v>40</v>
      </c>
      <c r="D23" s="35">
        <v>105112.76</v>
      </c>
      <c r="E23" s="35"/>
      <c r="F23" s="33">
        <v>1</v>
      </c>
      <c r="G23" s="33">
        <v>36</v>
      </c>
      <c r="H23" s="35">
        <v>119965.89</v>
      </c>
      <c r="I23" s="33">
        <v>2</v>
      </c>
      <c r="J23" s="33">
        <v>2</v>
      </c>
      <c r="K23" s="26">
        <v>1</v>
      </c>
      <c r="L23" s="35"/>
      <c r="M23" s="33">
        <v>1</v>
      </c>
      <c r="N23" s="33">
        <v>43</v>
      </c>
      <c r="O23" s="35">
        <v>1864854.75</v>
      </c>
      <c r="P23" s="35"/>
      <c r="Q23" s="33">
        <v>2</v>
      </c>
      <c r="R23" s="33">
        <v>49</v>
      </c>
      <c r="S23" s="35">
        <v>251803</v>
      </c>
      <c r="T23" s="75">
        <v>4</v>
      </c>
      <c r="U23" s="75">
        <v>3</v>
      </c>
      <c r="V23" s="26">
        <v>0.75</v>
      </c>
      <c r="W23" s="35"/>
      <c r="X23" s="33">
        <v>1</v>
      </c>
      <c r="Y23" s="33">
        <v>40</v>
      </c>
      <c r="Z23" s="35">
        <v>117730.08</v>
      </c>
      <c r="AA23" s="75">
        <v>4</v>
      </c>
      <c r="AB23" s="75">
        <v>3</v>
      </c>
      <c r="AC23" s="26">
        <v>0.75</v>
      </c>
      <c r="AD23" s="35"/>
      <c r="AE23" s="33">
        <v>1</v>
      </c>
      <c r="AF23" s="33">
        <v>32</v>
      </c>
      <c r="AG23" s="35">
        <v>46104.1</v>
      </c>
      <c r="AH23" s="75">
        <v>3</v>
      </c>
      <c r="AI23" s="75">
        <v>2</v>
      </c>
      <c r="AJ23" s="26">
        <v>0.66666666666666663</v>
      </c>
      <c r="AK23" s="35"/>
      <c r="AL23" s="99">
        <v>1</v>
      </c>
      <c r="AM23" s="99">
        <v>13</v>
      </c>
      <c r="AN23" s="91">
        <v>56544.23000000001</v>
      </c>
      <c r="AO23" s="99">
        <v>3</v>
      </c>
      <c r="AP23" s="99">
        <v>2</v>
      </c>
      <c r="AQ23" s="84">
        <f t="shared" si="1"/>
        <v>0.66666666666666663</v>
      </c>
      <c r="AR23" s="159" t="str">
        <f t="shared" si="0"/>
        <v>OK</v>
      </c>
      <c r="AS23" t="s">
        <v>9</v>
      </c>
      <c r="AT23">
        <v>3</v>
      </c>
    </row>
    <row r="24" spans="1:46" x14ac:dyDescent="0.25">
      <c r="A24" s="16" t="s">
        <v>23</v>
      </c>
      <c r="B24" s="33">
        <v>61</v>
      </c>
      <c r="C24" s="33">
        <v>7261</v>
      </c>
      <c r="D24" s="35">
        <v>16353248.410000002</v>
      </c>
      <c r="E24" s="35"/>
      <c r="F24" s="33">
        <v>59</v>
      </c>
      <c r="G24" s="33">
        <v>7327</v>
      </c>
      <c r="H24" s="35">
        <v>12554888.769999998</v>
      </c>
      <c r="I24" s="33">
        <v>87</v>
      </c>
      <c r="J24" s="33">
        <v>68</v>
      </c>
      <c r="K24" s="26">
        <v>0.7816091954022989</v>
      </c>
      <c r="L24" s="35"/>
      <c r="M24" s="33">
        <v>64</v>
      </c>
      <c r="N24" s="33">
        <v>7115</v>
      </c>
      <c r="O24" s="35">
        <v>12182639.739999998</v>
      </c>
      <c r="P24" s="35"/>
      <c r="Q24" s="33">
        <v>110</v>
      </c>
      <c r="R24" s="33">
        <v>6985</v>
      </c>
      <c r="S24" s="35">
        <v>9360048.040000001</v>
      </c>
      <c r="T24" s="75">
        <v>87</v>
      </c>
      <c r="U24" s="75">
        <v>56</v>
      </c>
      <c r="V24" s="26">
        <v>0.64367816091954022</v>
      </c>
      <c r="W24" s="35"/>
      <c r="X24" s="33">
        <v>61</v>
      </c>
      <c r="Y24" s="33">
        <v>6896</v>
      </c>
      <c r="Z24" s="35">
        <v>10540360.310000001</v>
      </c>
      <c r="AA24" s="75">
        <v>309</v>
      </c>
      <c r="AB24" s="75">
        <v>119</v>
      </c>
      <c r="AC24" s="26">
        <v>0.38511326860841422</v>
      </c>
      <c r="AD24" s="35"/>
      <c r="AE24" s="33">
        <v>58</v>
      </c>
      <c r="AF24" s="33">
        <v>6530</v>
      </c>
      <c r="AG24" s="35">
        <v>11912661.59</v>
      </c>
      <c r="AH24" s="75">
        <v>137</v>
      </c>
      <c r="AI24" s="75">
        <v>64</v>
      </c>
      <c r="AJ24" s="26">
        <v>0.46715328467153283</v>
      </c>
      <c r="AK24" s="35"/>
      <c r="AL24" s="99">
        <v>28</v>
      </c>
      <c r="AM24" s="99">
        <v>551</v>
      </c>
      <c r="AN24" s="91">
        <v>6954324.9799999995</v>
      </c>
      <c r="AO24" s="99">
        <v>82</v>
      </c>
      <c r="AP24" s="99">
        <v>30</v>
      </c>
      <c r="AQ24" s="84">
        <f t="shared" si="1"/>
        <v>0.36585365853658536</v>
      </c>
      <c r="AR24" s="159" t="str">
        <f t="shared" si="0"/>
        <v>OK</v>
      </c>
      <c r="AS24" t="s">
        <v>23</v>
      </c>
      <c r="AT24">
        <v>82</v>
      </c>
    </row>
    <row r="25" spans="1:46" x14ac:dyDescent="0.25">
      <c r="A25" s="16" t="s">
        <v>24</v>
      </c>
      <c r="B25" s="33"/>
      <c r="C25" s="33"/>
      <c r="D25" s="35"/>
      <c r="E25" s="35"/>
      <c r="F25" s="33">
        <v>1</v>
      </c>
      <c r="G25" s="33">
        <v>0</v>
      </c>
      <c r="H25" s="35">
        <v>0</v>
      </c>
      <c r="I25" s="33"/>
      <c r="J25" s="33"/>
      <c r="K25" s="26"/>
      <c r="L25" s="35"/>
      <c r="M25" s="33"/>
      <c r="N25" s="33"/>
      <c r="O25" s="35"/>
      <c r="P25" s="35"/>
      <c r="Q25" s="33"/>
      <c r="R25" s="33"/>
      <c r="S25" s="35"/>
      <c r="T25" s="75"/>
      <c r="U25" s="75"/>
      <c r="V25" s="26"/>
      <c r="W25" s="35"/>
      <c r="X25" s="33"/>
      <c r="Y25" s="33"/>
      <c r="Z25" s="35"/>
      <c r="AA25" s="75">
        <v>3</v>
      </c>
      <c r="AB25" s="75">
        <v>0</v>
      </c>
      <c r="AC25" s="26">
        <v>0</v>
      </c>
      <c r="AD25" s="35"/>
      <c r="AE25" s="33"/>
      <c r="AF25" s="33"/>
      <c r="AG25" s="35"/>
      <c r="AH25" s="75"/>
      <c r="AI25" s="75"/>
      <c r="AJ25" s="26"/>
      <c r="AK25" s="35"/>
      <c r="AL25" s="99"/>
      <c r="AM25" s="99"/>
      <c r="AN25" s="91"/>
      <c r="AO25" s="99"/>
      <c r="AP25" s="99"/>
      <c r="AQ25" s="84"/>
      <c r="AR25" s="159" t="str">
        <f t="shared" si="0"/>
        <v>No</v>
      </c>
    </row>
    <row r="26" spans="1:46" x14ac:dyDescent="0.25">
      <c r="A26" s="16" t="s">
        <v>33</v>
      </c>
      <c r="B26" s="33">
        <v>1</v>
      </c>
      <c r="C26" s="33">
        <v>140</v>
      </c>
      <c r="D26" s="35">
        <v>305287.09000000003</v>
      </c>
      <c r="E26" s="35"/>
      <c r="F26" s="33">
        <v>1</v>
      </c>
      <c r="G26" s="33">
        <v>159</v>
      </c>
      <c r="H26" s="35">
        <v>290971.18</v>
      </c>
      <c r="I26" s="33">
        <v>1</v>
      </c>
      <c r="J26" s="33">
        <v>1</v>
      </c>
      <c r="K26" s="26">
        <v>1</v>
      </c>
      <c r="L26" s="35"/>
      <c r="M26" s="33">
        <v>1</v>
      </c>
      <c r="N26" s="33">
        <v>167</v>
      </c>
      <c r="O26" s="35">
        <v>275270.01</v>
      </c>
      <c r="P26" s="35"/>
      <c r="Q26" s="33">
        <v>2</v>
      </c>
      <c r="R26" s="33">
        <v>117</v>
      </c>
      <c r="S26" s="35">
        <v>253889.63</v>
      </c>
      <c r="T26" s="75">
        <v>1</v>
      </c>
      <c r="U26" s="75">
        <v>1</v>
      </c>
      <c r="V26" s="26">
        <v>1</v>
      </c>
      <c r="W26" s="35"/>
      <c r="X26" s="33">
        <v>1</v>
      </c>
      <c r="Y26" s="33">
        <v>85</v>
      </c>
      <c r="Z26" s="35">
        <v>198860.82</v>
      </c>
      <c r="AA26" s="75">
        <v>6</v>
      </c>
      <c r="AB26" s="75">
        <v>3</v>
      </c>
      <c r="AC26" s="26">
        <v>0.5</v>
      </c>
      <c r="AD26" s="35"/>
      <c r="AE26" s="33">
        <v>1</v>
      </c>
      <c r="AF26" s="33">
        <v>82</v>
      </c>
      <c r="AG26" s="35">
        <v>196152.23</v>
      </c>
      <c r="AH26" s="75">
        <v>4</v>
      </c>
      <c r="AI26" s="75">
        <v>3</v>
      </c>
      <c r="AJ26" s="26">
        <v>0.75</v>
      </c>
      <c r="AK26" s="35"/>
      <c r="AL26" s="99">
        <v>1</v>
      </c>
      <c r="AM26" s="99">
        <v>64</v>
      </c>
      <c r="AN26" s="91">
        <v>107766.04</v>
      </c>
      <c r="AO26" s="99">
        <v>3</v>
      </c>
      <c r="AP26" s="99">
        <v>1</v>
      </c>
      <c r="AQ26" s="84">
        <f t="shared" ref="AQ26:AQ51" si="2">AP26/AO26</f>
        <v>0.33333333333333331</v>
      </c>
      <c r="AR26" s="159" t="str">
        <f t="shared" si="0"/>
        <v>OK</v>
      </c>
      <c r="AS26" t="s">
        <v>33</v>
      </c>
      <c r="AT26">
        <v>3</v>
      </c>
    </row>
    <row r="27" spans="1:46" x14ac:dyDescent="0.25">
      <c r="A27" s="16" t="s">
        <v>10</v>
      </c>
      <c r="B27" s="33">
        <v>6</v>
      </c>
      <c r="C27" s="33">
        <v>709</v>
      </c>
      <c r="D27" s="35">
        <v>902391.76</v>
      </c>
      <c r="E27" s="35"/>
      <c r="F27" s="33">
        <v>6</v>
      </c>
      <c r="G27" s="33">
        <v>657</v>
      </c>
      <c r="H27" s="35">
        <v>808651.66</v>
      </c>
      <c r="I27" s="33">
        <v>6</v>
      </c>
      <c r="J27" s="33">
        <v>6</v>
      </c>
      <c r="K27" s="26">
        <v>1</v>
      </c>
      <c r="L27" s="35"/>
      <c r="M27" s="33">
        <v>7</v>
      </c>
      <c r="N27" s="33">
        <v>707</v>
      </c>
      <c r="O27" s="35">
        <v>896590.35</v>
      </c>
      <c r="P27" s="35"/>
      <c r="Q27" s="33">
        <v>10</v>
      </c>
      <c r="R27" s="33">
        <v>647</v>
      </c>
      <c r="S27" s="35">
        <v>742265.65</v>
      </c>
      <c r="T27" s="75">
        <v>9</v>
      </c>
      <c r="U27" s="75">
        <v>6</v>
      </c>
      <c r="V27" s="26">
        <v>0.66666666666666663</v>
      </c>
      <c r="W27" s="35"/>
      <c r="X27" s="33">
        <v>4</v>
      </c>
      <c r="Y27" s="33">
        <v>548</v>
      </c>
      <c r="Z27" s="35">
        <v>742161.3600000001</v>
      </c>
      <c r="AA27" s="75">
        <v>25</v>
      </c>
      <c r="AB27" s="75">
        <v>16</v>
      </c>
      <c r="AC27" s="26">
        <v>0.64</v>
      </c>
      <c r="AD27" s="35"/>
      <c r="AE27" s="33">
        <v>5</v>
      </c>
      <c r="AF27" s="33">
        <v>487</v>
      </c>
      <c r="AG27" s="35">
        <v>448045.98</v>
      </c>
      <c r="AH27" s="75">
        <v>7</v>
      </c>
      <c r="AI27" s="75">
        <v>4</v>
      </c>
      <c r="AJ27" s="26">
        <v>0.5714285714285714</v>
      </c>
      <c r="AK27" s="35"/>
      <c r="AL27" s="99">
        <v>4</v>
      </c>
      <c r="AM27" s="99">
        <v>370</v>
      </c>
      <c r="AN27" s="91">
        <v>440685.68000000005</v>
      </c>
      <c r="AO27" s="99">
        <v>8</v>
      </c>
      <c r="AP27" s="99">
        <v>6</v>
      </c>
      <c r="AQ27" s="84">
        <f t="shared" si="2"/>
        <v>0.75</v>
      </c>
      <c r="AR27" s="159" t="str">
        <f t="shared" si="0"/>
        <v>OK</v>
      </c>
      <c r="AS27" t="s">
        <v>10</v>
      </c>
      <c r="AT27">
        <v>8</v>
      </c>
    </row>
    <row r="28" spans="1:46" x14ac:dyDescent="0.25">
      <c r="A28" s="16" t="s">
        <v>358</v>
      </c>
      <c r="B28" s="33">
        <v>13</v>
      </c>
      <c r="C28" s="33">
        <v>388</v>
      </c>
      <c r="D28" s="35">
        <v>5108904.8400000008</v>
      </c>
      <c r="E28" s="35"/>
      <c r="F28" s="33">
        <v>3</v>
      </c>
      <c r="G28" s="33">
        <v>253</v>
      </c>
      <c r="H28" s="35">
        <v>4978986.88</v>
      </c>
      <c r="I28" s="33">
        <v>6</v>
      </c>
      <c r="J28" s="33">
        <v>5</v>
      </c>
      <c r="K28" s="26">
        <v>0.83333333333333337</v>
      </c>
      <c r="L28" s="35"/>
      <c r="M28" s="33">
        <v>2</v>
      </c>
      <c r="N28" s="33">
        <v>261</v>
      </c>
      <c r="O28" s="35">
        <v>5432932.3499999996</v>
      </c>
      <c r="P28" s="35"/>
      <c r="Q28" s="33">
        <v>2</v>
      </c>
      <c r="R28" s="33">
        <v>289</v>
      </c>
      <c r="S28" s="35">
        <v>4167215.63</v>
      </c>
      <c r="T28" s="75">
        <v>4</v>
      </c>
      <c r="U28" s="75">
        <v>4</v>
      </c>
      <c r="V28" s="26">
        <v>1</v>
      </c>
      <c r="W28" s="35"/>
      <c r="X28" s="33">
        <v>1</v>
      </c>
      <c r="Y28" s="33">
        <v>259</v>
      </c>
      <c r="Z28" s="35">
        <v>1366075.42</v>
      </c>
      <c r="AA28" s="75">
        <v>30</v>
      </c>
      <c r="AB28" s="75">
        <v>8</v>
      </c>
      <c r="AC28" s="26">
        <v>0.26666666666666666</v>
      </c>
      <c r="AD28" s="35"/>
      <c r="AE28" s="33">
        <v>2</v>
      </c>
      <c r="AF28" s="33">
        <v>179</v>
      </c>
      <c r="AG28" s="35">
        <v>1491201.76</v>
      </c>
      <c r="AH28" s="75">
        <v>3</v>
      </c>
      <c r="AI28" s="75">
        <v>3</v>
      </c>
      <c r="AJ28" s="26">
        <v>1</v>
      </c>
      <c r="AK28" s="35"/>
      <c r="AL28" s="99">
        <v>1</v>
      </c>
      <c r="AM28" s="99">
        <v>135</v>
      </c>
      <c r="AN28" s="91">
        <v>674419.97</v>
      </c>
      <c r="AO28" s="99">
        <v>3</v>
      </c>
      <c r="AP28" s="99">
        <v>3</v>
      </c>
      <c r="AQ28" s="84">
        <f t="shared" si="2"/>
        <v>1</v>
      </c>
      <c r="AR28" s="159" t="str">
        <f t="shared" si="0"/>
        <v>OK</v>
      </c>
      <c r="AS28" t="s">
        <v>358</v>
      </c>
      <c r="AT28">
        <v>3</v>
      </c>
    </row>
    <row r="29" spans="1:46" x14ac:dyDescent="0.25">
      <c r="A29" s="16" t="s">
        <v>190</v>
      </c>
      <c r="B29" s="33">
        <v>2</v>
      </c>
      <c r="C29" s="33">
        <v>77</v>
      </c>
      <c r="D29" s="35">
        <v>522497.05</v>
      </c>
      <c r="E29" s="35"/>
      <c r="F29" s="33">
        <v>2</v>
      </c>
      <c r="G29" s="33">
        <v>60</v>
      </c>
      <c r="H29" s="35">
        <v>337948.8</v>
      </c>
      <c r="I29" s="33">
        <v>4</v>
      </c>
      <c r="J29" s="33">
        <v>3</v>
      </c>
      <c r="K29" s="26">
        <v>0.75</v>
      </c>
      <c r="L29" s="35"/>
      <c r="M29" s="33">
        <v>2</v>
      </c>
      <c r="N29" s="33">
        <v>58</v>
      </c>
      <c r="O29" s="35">
        <v>437837.84</v>
      </c>
      <c r="P29" s="35"/>
      <c r="Q29" s="33">
        <v>4</v>
      </c>
      <c r="R29" s="33">
        <v>71</v>
      </c>
      <c r="S29" s="35">
        <v>362688.45999999996</v>
      </c>
      <c r="T29" s="75">
        <v>6</v>
      </c>
      <c r="U29" s="75">
        <v>5</v>
      </c>
      <c r="V29" s="26">
        <v>0.83333333333333337</v>
      </c>
      <c r="W29" s="35"/>
      <c r="X29" s="33">
        <v>2</v>
      </c>
      <c r="Y29" s="33">
        <v>68</v>
      </c>
      <c r="Z29" s="35">
        <v>105216.9</v>
      </c>
      <c r="AA29" s="75">
        <v>4</v>
      </c>
      <c r="AB29" s="75">
        <v>4</v>
      </c>
      <c r="AC29" s="26">
        <v>1</v>
      </c>
      <c r="AD29" s="35"/>
      <c r="AE29" s="33">
        <v>2</v>
      </c>
      <c r="AF29" s="33">
        <v>54</v>
      </c>
      <c r="AG29" s="35">
        <v>95765.950000000012</v>
      </c>
      <c r="AH29" s="75">
        <v>4</v>
      </c>
      <c r="AI29" s="75">
        <v>4</v>
      </c>
      <c r="AJ29" s="26">
        <v>1</v>
      </c>
      <c r="AK29" s="35"/>
      <c r="AL29" s="99">
        <v>3</v>
      </c>
      <c r="AM29" s="99">
        <v>55</v>
      </c>
      <c r="AN29" s="91">
        <v>954984.12</v>
      </c>
      <c r="AO29" s="99">
        <v>4</v>
      </c>
      <c r="AP29" s="99">
        <v>4</v>
      </c>
      <c r="AQ29" s="84">
        <f t="shared" si="2"/>
        <v>1</v>
      </c>
      <c r="AR29" s="159" t="str">
        <f t="shared" si="0"/>
        <v>OK</v>
      </c>
      <c r="AS29" t="s">
        <v>190</v>
      </c>
      <c r="AT29">
        <v>4</v>
      </c>
    </row>
    <row r="30" spans="1:46" x14ac:dyDescent="0.25">
      <c r="A30" s="16" t="s">
        <v>11</v>
      </c>
      <c r="B30" s="33">
        <v>7</v>
      </c>
      <c r="C30" s="33">
        <v>3875</v>
      </c>
      <c r="D30" s="35">
        <v>5315946.3499999996</v>
      </c>
      <c r="E30" s="35"/>
      <c r="F30" s="33">
        <v>6</v>
      </c>
      <c r="G30" s="33">
        <v>3762</v>
      </c>
      <c r="H30" s="35">
        <v>4130191.0100000002</v>
      </c>
      <c r="I30" s="33">
        <v>15</v>
      </c>
      <c r="J30" s="33">
        <v>11</v>
      </c>
      <c r="K30" s="26">
        <v>0.73333333333333328</v>
      </c>
      <c r="L30" s="35"/>
      <c r="M30" s="33">
        <v>6</v>
      </c>
      <c r="N30" s="33">
        <v>3527</v>
      </c>
      <c r="O30" s="35">
        <v>3904936.5999999996</v>
      </c>
      <c r="P30" s="35"/>
      <c r="Q30" s="33">
        <v>10</v>
      </c>
      <c r="R30" s="33">
        <v>3319</v>
      </c>
      <c r="S30" s="35">
        <v>3461715.26</v>
      </c>
      <c r="T30" s="75">
        <v>15</v>
      </c>
      <c r="U30" s="75">
        <v>13</v>
      </c>
      <c r="V30" s="26">
        <v>0.8666666666666667</v>
      </c>
      <c r="W30" s="35"/>
      <c r="X30" s="33">
        <v>5</v>
      </c>
      <c r="Y30" s="33">
        <v>3243</v>
      </c>
      <c r="Z30" s="35">
        <v>2578208.56</v>
      </c>
      <c r="AA30" s="75">
        <v>36</v>
      </c>
      <c r="AB30" s="75">
        <v>27</v>
      </c>
      <c r="AC30" s="26">
        <v>0.75</v>
      </c>
      <c r="AD30" s="35"/>
      <c r="AE30" s="33">
        <v>5</v>
      </c>
      <c r="AF30" s="33">
        <v>3061</v>
      </c>
      <c r="AG30" s="35">
        <v>2608662.94</v>
      </c>
      <c r="AH30" s="75">
        <v>30</v>
      </c>
      <c r="AI30" s="75">
        <v>27</v>
      </c>
      <c r="AJ30" s="26">
        <v>0.9</v>
      </c>
      <c r="AK30" s="35"/>
      <c r="AL30" s="99">
        <v>6</v>
      </c>
      <c r="AM30" s="99">
        <v>2168</v>
      </c>
      <c r="AN30" s="91">
        <v>1793732.1800000002</v>
      </c>
      <c r="AO30" s="99">
        <v>29</v>
      </c>
      <c r="AP30" s="99">
        <v>22</v>
      </c>
      <c r="AQ30" s="84">
        <f t="shared" si="2"/>
        <v>0.75862068965517238</v>
      </c>
      <c r="AR30" s="159" t="str">
        <f t="shared" si="0"/>
        <v>OK</v>
      </c>
      <c r="AS30" t="s">
        <v>11</v>
      </c>
      <c r="AT30">
        <v>29</v>
      </c>
    </row>
    <row r="31" spans="1:46" x14ac:dyDescent="0.25">
      <c r="A31" s="16" t="s">
        <v>12</v>
      </c>
      <c r="B31" s="33">
        <v>3</v>
      </c>
      <c r="C31" s="33">
        <v>60</v>
      </c>
      <c r="D31" s="35">
        <v>263774.91000000003</v>
      </c>
      <c r="E31" s="35"/>
      <c r="F31" s="33">
        <v>1</v>
      </c>
      <c r="G31" s="33">
        <v>47</v>
      </c>
      <c r="H31" s="35">
        <v>169571.68</v>
      </c>
      <c r="I31" s="33">
        <v>5</v>
      </c>
      <c r="J31" s="33">
        <v>4</v>
      </c>
      <c r="K31" s="26">
        <v>0.8</v>
      </c>
      <c r="L31" s="35"/>
      <c r="M31" s="33">
        <v>1</v>
      </c>
      <c r="N31" s="33">
        <v>64</v>
      </c>
      <c r="O31" s="35">
        <v>121684.12</v>
      </c>
      <c r="P31" s="35"/>
      <c r="Q31" s="33">
        <v>2</v>
      </c>
      <c r="R31" s="33">
        <v>36</v>
      </c>
      <c r="S31" s="35">
        <v>74157.66</v>
      </c>
      <c r="T31" s="75">
        <v>3</v>
      </c>
      <c r="U31" s="75">
        <v>2</v>
      </c>
      <c r="V31" s="26">
        <v>0.66666666666666663</v>
      </c>
      <c r="W31" s="35"/>
      <c r="X31" s="33">
        <v>1</v>
      </c>
      <c r="Y31" s="33">
        <v>45</v>
      </c>
      <c r="Z31" s="35">
        <v>992640.02</v>
      </c>
      <c r="AA31" s="75">
        <v>10</v>
      </c>
      <c r="AB31" s="75">
        <v>3</v>
      </c>
      <c r="AC31" s="26">
        <v>0.3</v>
      </c>
      <c r="AD31" s="35"/>
      <c r="AE31" s="33">
        <v>1</v>
      </c>
      <c r="AF31" s="33">
        <v>49</v>
      </c>
      <c r="AG31" s="35">
        <v>1020136.83</v>
      </c>
      <c r="AH31" s="75">
        <v>4</v>
      </c>
      <c r="AI31" s="75">
        <v>3</v>
      </c>
      <c r="AJ31" s="26">
        <v>0.75</v>
      </c>
      <c r="AK31" s="35"/>
      <c r="AL31" s="99">
        <v>1</v>
      </c>
      <c r="AM31" s="99">
        <v>51</v>
      </c>
      <c r="AN31" s="91">
        <v>340417.88</v>
      </c>
      <c r="AO31" s="99">
        <v>4</v>
      </c>
      <c r="AP31" s="99">
        <v>4</v>
      </c>
      <c r="AQ31" s="84">
        <f t="shared" si="2"/>
        <v>1</v>
      </c>
      <c r="AR31" s="159" t="str">
        <f t="shared" si="0"/>
        <v>OK</v>
      </c>
      <c r="AS31" t="s">
        <v>12</v>
      </c>
      <c r="AT31">
        <v>4</v>
      </c>
    </row>
    <row r="32" spans="1:46" x14ac:dyDescent="0.25">
      <c r="A32" s="16" t="s">
        <v>13</v>
      </c>
      <c r="B32" s="33">
        <v>1</v>
      </c>
      <c r="C32" s="33">
        <v>69</v>
      </c>
      <c r="D32" s="35">
        <v>59407.94</v>
      </c>
      <c r="E32" s="35"/>
      <c r="F32" s="33">
        <v>1</v>
      </c>
      <c r="G32" s="33">
        <v>42</v>
      </c>
      <c r="H32" s="35">
        <v>27629.38</v>
      </c>
      <c r="I32" s="33">
        <v>2</v>
      </c>
      <c r="J32" s="33">
        <v>2</v>
      </c>
      <c r="K32" s="26">
        <v>1</v>
      </c>
      <c r="L32" s="35"/>
      <c r="M32" s="33">
        <v>1</v>
      </c>
      <c r="N32" s="33">
        <v>57</v>
      </c>
      <c r="O32" s="35">
        <v>58056.78</v>
      </c>
      <c r="P32" s="35"/>
      <c r="Q32" s="33">
        <v>2</v>
      </c>
      <c r="R32" s="33">
        <v>41</v>
      </c>
      <c r="S32" s="35">
        <v>31477.05</v>
      </c>
      <c r="T32" s="75">
        <v>1</v>
      </c>
      <c r="U32" s="75">
        <v>1</v>
      </c>
      <c r="V32" s="26">
        <v>1</v>
      </c>
      <c r="W32" s="35"/>
      <c r="X32" s="33">
        <v>1</v>
      </c>
      <c r="Y32" s="33">
        <v>39</v>
      </c>
      <c r="Z32" s="35">
        <v>15483.57</v>
      </c>
      <c r="AA32" s="75">
        <v>5</v>
      </c>
      <c r="AB32" s="75">
        <v>4</v>
      </c>
      <c r="AC32" s="26">
        <v>0.8</v>
      </c>
      <c r="AD32" s="35"/>
      <c r="AE32" s="33">
        <v>1</v>
      </c>
      <c r="AF32" s="33">
        <v>36</v>
      </c>
      <c r="AG32" s="35">
        <v>15830.42</v>
      </c>
      <c r="AH32" s="75">
        <v>4</v>
      </c>
      <c r="AI32" s="75">
        <v>4</v>
      </c>
      <c r="AJ32" s="26">
        <v>1</v>
      </c>
      <c r="AK32" s="35"/>
      <c r="AL32" s="99">
        <v>1</v>
      </c>
      <c r="AM32" s="99">
        <v>32</v>
      </c>
      <c r="AN32" s="91">
        <v>35960.29</v>
      </c>
      <c r="AO32" s="99">
        <v>4</v>
      </c>
      <c r="AP32" s="99">
        <v>4</v>
      </c>
      <c r="AQ32" s="84">
        <f t="shared" si="2"/>
        <v>1</v>
      </c>
      <c r="AR32" s="159" t="str">
        <f t="shared" si="0"/>
        <v>OK</v>
      </c>
      <c r="AS32" s="16" t="s">
        <v>13</v>
      </c>
      <c r="AT32">
        <v>4</v>
      </c>
    </row>
    <row r="33" spans="1:46" x14ac:dyDescent="0.25">
      <c r="A33" s="16" t="s">
        <v>14</v>
      </c>
      <c r="B33" s="33">
        <v>3</v>
      </c>
      <c r="C33" s="33">
        <v>104</v>
      </c>
      <c r="D33" s="35">
        <v>116543.06999999999</v>
      </c>
      <c r="E33" s="35"/>
      <c r="F33" s="33">
        <v>3</v>
      </c>
      <c r="G33" s="33">
        <v>91</v>
      </c>
      <c r="H33" s="35">
        <v>98193.03</v>
      </c>
      <c r="I33" s="33">
        <v>6</v>
      </c>
      <c r="J33" s="33">
        <v>6</v>
      </c>
      <c r="K33" s="26">
        <v>1</v>
      </c>
      <c r="L33" s="35"/>
      <c r="M33" s="33">
        <v>3</v>
      </c>
      <c r="N33" s="33">
        <v>86</v>
      </c>
      <c r="O33" s="35">
        <v>344748.12</v>
      </c>
      <c r="P33" s="35"/>
      <c r="Q33" s="33">
        <v>2</v>
      </c>
      <c r="R33" s="33">
        <v>59</v>
      </c>
      <c r="S33" s="35">
        <v>153391.49</v>
      </c>
      <c r="T33" s="75">
        <v>1</v>
      </c>
      <c r="U33" s="75">
        <v>1</v>
      </c>
      <c r="V33" s="26">
        <v>1</v>
      </c>
      <c r="W33" s="35"/>
      <c r="X33" s="33">
        <v>2</v>
      </c>
      <c r="Y33" s="33">
        <v>40</v>
      </c>
      <c r="Z33" s="35">
        <v>122520.62999999999</v>
      </c>
      <c r="AA33" s="75">
        <v>8</v>
      </c>
      <c r="AB33" s="75">
        <v>4</v>
      </c>
      <c r="AC33" s="26">
        <v>0.5</v>
      </c>
      <c r="AD33" s="35"/>
      <c r="AE33" s="33">
        <v>1</v>
      </c>
      <c r="AF33" s="33">
        <v>48</v>
      </c>
      <c r="AG33" s="35">
        <v>133697.62</v>
      </c>
      <c r="AH33" s="75">
        <v>3</v>
      </c>
      <c r="AI33" s="75">
        <v>2</v>
      </c>
      <c r="AJ33" s="26">
        <v>0.66666666666666663</v>
      </c>
      <c r="AK33" s="35"/>
      <c r="AL33" s="99">
        <v>1</v>
      </c>
      <c r="AM33" s="99">
        <v>31</v>
      </c>
      <c r="AN33" s="91">
        <v>115544.13</v>
      </c>
      <c r="AO33" s="99">
        <v>3</v>
      </c>
      <c r="AP33" s="99">
        <v>3</v>
      </c>
      <c r="AQ33" s="84">
        <f t="shared" si="2"/>
        <v>1</v>
      </c>
      <c r="AR33" s="159" t="str">
        <f t="shared" si="0"/>
        <v>OK</v>
      </c>
      <c r="AS33" s="16" t="s">
        <v>14</v>
      </c>
      <c r="AT33">
        <v>3</v>
      </c>
    </row>
    <row r="34" spans="1:46" x14ac:dyDescent="0.25">
      <c r="A34" s="16" t="s">
        <v>15</v>
      </c>
      <c r="B34" s="33">
        <v>7</v>
      </c>
      <c r="C34" s="33">
        <v>368</v>
      </c>
      <c r="D34" s="35">
        <v>576601.69999999995</v>
      </c>
      <c r="E34" s="35"/>
      <c r="F34" s="33">
        <v>8</v>
      </c>
      <c r="G34" s="33">
        <v>413</v>
      </c>
      <c r="H34" s="35">
        <v>564616.44999999995</v>
      </c>
      <c r="I34" s="33">
        <v>9</v>
      </c>
      <c r="J34" s="33">
        <v>8</v>
      </c>
      <c r="K34" s="26">
        <v>0.88888888888888884</v>
      </c>
      <c r="L34" s="35"/>
      <c r="M34" s="33">
        <v>8</v>
      </c>
      <c r="N34" s="33">
        <v>326</v>
      </c>
      <c r="O34" s="35">
        <v>795904.88000000012</v>
      </c>
      <c r="P34" s="35"/>
      <c r="Q34" s="33">
        <v>10</v>
      </c>
      <c r="R34" s="33">
        <v>323</v>
      </c>
      <c r="S34" s="35">
        <v>538069.6</v>
      </c>
      <c r="T34" s="75">
        <v>9</v>
      </c>
      <c r="U34" s="75">
        <v>6</v>
      </c>
      <c r="V34" s="26">
        <v>0.66666666666666663</v>
      </c>
      <c r="W34" s="35"/>
      <c r="X34" s="33">
        <v>5</v>
      </c>
      <c r="Y34" s="33">
        <v>314</v>
      </c>
      <c r="Z34" s="35">
        <v>415499.42000000004</v>
      </c>
      <c r="AA34" s="75">
        <v>9</v>
      </c>
      <c r="AB34" s="75">
        <v>4</v>
      </c>
      <c r="AC34" s="26">
        <v>0.44444444444444442</v>
      </c>
      <c r="AD34" s="35"/>
      <c r="AE34" s="33">
        <v>5</v>
      </c>
      <c r="AF34" s="33">
        <v>323</v>
      </c>
      <c r="AG34" s="35">
        <v>385529.25</v>
      </c>
      <c r="AH34" s="75">
        <v>7</v>
      </c>
      <c r="AI34" s="75">
        <v>5</v>
      </c>
      <c r="AJ34" s="26">
        <v>0.7142857142857143</v>
      </c>
      <c r="AK34" s="35"/>
      <c r="AL34" s="99">
        <v>5</v>
      </c>
      <c r="AM34" s="99">
        <v>207</v>
      </c>
      <c r="AN34" s="91">
        <v>424770.41</v>
      </c>
      <c r="AO34" s="99">
        <v>8</v>
      </c>
      <c r="AP34" s="99">
        <v>7</v>
      </c>
      <c r="AQ34" s="84">
        <f t="shared" si="2"/>
        <v>0.875</v>
      </c>
      <c r="AR34" s="159" t="str">
        <f t="shared" si="0"/>
        <v>No</v>
      </c>
      <c r="AS34" t="s">
        <v>359</v>
      </c>
      <c r="AT34">
        <v>8</v>
      </c>
    </row>
    <row r="35" spans="1:46" x14ac:dyDescent="0.25">
      <c r="A35" s="16" t="s">
        <v>16</v>
      </c>
      <c r="B35" s="33">
        <v>1</v>
      </c>
      <c r="C35" s="33">
        <v>142</v>
      </c>
      <c r="D35" s="35">
        <v>257435.8</v>
      </c>
      <c r="E35" s="35"/>
      <c r="F35" s="33">
        <v>1</v>
      </c>
      <c r="G35" s="33">
        <v>95</v>
      </c>
      <c r="H35" s="35">
        <v>272614.12</v>
      </c>
      <c r="I35" s="33">
        <v>2</v>
      </c>
      <c r="J35" s="33">
        <v>2</v>
      </c>
      <c r="K35" s="26">
        <v>1</v>
      </c>
      <c r="L35" s="35"/>
      <c r="M35" s="33">
        <v>1</v>
      </c>
      <c r="N35" s="33">
        <v>86</v>
      </c>
      <c r="O35" s="35">
        <v>1167328.8700000001</v>
      </c>
      <c r="P35" s="35"/>
      <c r="Q35" s="33">
        <v>2</v>
      </c>
      <c r="R35" s="33">
        <v>87</v>
      </c>
      <c r="S35" s="35">
        <v>122355.78</v>
      </c>
      <c r="T35" s="75">
        <v>2</v>
      </c>
      <c r="U35" s="75">
        <v>2</v>
      </c>
      <c r="V35" s="26">
        <v>1</v>
      </c>
      <c r="W35" s="35"/>
      <c r="X35" s="33">
        <v>1</v>
      </c>
      <c r="Y35" s="33">
        <v>99</v>
      </c>
      <c r="Z35" s="35">
        <v>33456.17</v>
      </c>
      <c r="AA35" s="75">
        <v>9</v>
      </c>
      <c r="AB35" s="75">
        <v>5</v>
      </c>
      <c r="AC35" s="26">
        <v>0.55555555555555558</v>
      </c>
      <c r="AD35" s="35"/>
      <c r="AE35" s="33">
        <v>1</v>
      </c>
      <c r="AF35" s="33">
        <v>122</v>
      </c>
      <c r="AG35" s="35">
        <v>80450.89</v>
      </c>
      <c r="AH35" s="75">
        <v>3</v>
      </c>
      <c r="AI35" s="75">
        <v>3</v>
      </c>
      <c r="AJ35" s="26">
        <v>1</v>
      </c>
      <c r="AK35" s="35"/>
      <c r="AL35" s="99">
        <v>1</v>
      </c>
      <c r="AM35" s="99">
        <v>74</v>
      </c>
      <c r="AN35" s="91">
        <v>55313.47</v>
      </c>
      <c r="AO35" s="99">
        <v>5</v>
      </c>
      <c r="AP35" s="99">
        <v>4</v>
      </c>
      <c r="AQ35" s="84">
        <f t="shared" si="2"/>
        <v>0.8</v>
      </c>
      <c r="AR35" s="159" t="str">
        <f t="shared" si="0"/>
        <v>OK</v>
      </c>
      <c r="AS35" t="s">
        <v>16</v>
      </c>
      <c r="AT35">
        <v>5</v>
      </c>
    </row>
    <row r="36" spans="1:46" x14ac:dyDescent="0.25">
      <c r="A36" s="16" t="s">
        <v>17</v>
      </c>
      <c r="B36" s="33">
        <v>6</v>
      </c>
      <c r="C36" s="33">
        <v>157</v>
      </c>
      <c r="D36" s="35">
        <v>581410.3899999999</v>
      </c>
      <c r="E36" s="35"/>
      <c r="F36" s="33">
        <v>6</v>
      </c>
      <c r="G36" s="33">
        <v>112</v>
      </c>
      <c r="H36" s="35">
        <v>484781.10000000003</v>
      </c>
      <c r="I36" s="33">
        <v>8</v>
      </c>
      <c r="J36" s="33">
        <v>7</v>
      </c>
      <c r="K36" s="26">
        <v>0.875</v>
      </c>
      <c r="L36" s="35"/>
      <c r="M36" s="33">
        <v>7</v>
      </c>
      <c r="N36" s="33">
        <v>154</v>
      </c>
      <c r="O36" s="35">
        <v>504346.55</v>
      </c>
      <c r="P36" s="35"/>
      <c r="Q36" s="33">
        <v>11</v>
      </c>
      <c r="R36" s="33">
        <v>113</v>
      </c>
      <c r="S36" s="35">
        <v>1430488.59</v>
      </c>
      <c r="T36" s="75">
        <v>9</v>
      </c>
      <c r="U36" s="75">
        <v>8</v>
      </c>
      <c r="V36" s="26">
        <v>0.88888888888888884</v>
      </c>
      <c r="W36" s="35"/>
      <c r="X36" s="33">
        <v>6</v>
      </c>
      <c r="Y36" s="33">
        <v>130</v>
      </c>
      <c r="Z36" s="35">
        <v>1595797.3599999999</v>
      </c>
      <c r="AA36" s="75">
        <v>14</v>
      </c>
      <c r="AB36" s="75">
        <v>5</v>
      </c>
      <c r="AC36" s="26">
        <v>0.35714285714285715</v>
      </c>
      <c r="AD36" s="35"/>
      <c r="AE36" s="33">
        <v>6</v>
      </c>
      <c r="AF36" s="33">
        <v>115</v>
      </c>
      <c r="AG36" s="35">
        <v>666622.60000000009</v>
      </c>
      <c r="AH36" s="75">
        <v>7</v>
      </c>
      <c r="AI36" s="75">
        <v>4</v>
      </c>
      <c r="AJ36" s="26">
        <v>0.5714285714285714</v>
      </c>
      <c r="AK36" s="35"/>
      <c r="AL36" s="99">
        <v>11</v>
      </c>
      <c r="AM36" s="99">
        <v>64</v>
      </c>
      <c r="AN36" s="91">
        <v>728671.27</v>
      </c>
      <c r="AO36" s="99">
        <v>15</v>
      </c>
      <c r="AP36" s="99">
        <v>8</v>
      </c>
      <c r="AQ36" s="84">
        <f t="shared" si="2"/>
        <v>0.53333333333333333</v>
      </c>
      <c r="AR36" s="159" t="str">
        <f t="shared" si="0"/>
        <v>OK</v>
      </c>
      <c r="AS36" t="s">
        <v>17</v>
      </c>
      <c r="AT36">
        <v>15</v>
      </c>
    </row>
    <row r="37" spans="1:46" x14ac:dyDescent="0.25">
      <c r="A37" s="16" t="s">
        <v>18</v>
      </c>
      <c r="B37" s="33">
        <v>2</v>
      </c>
      <c r="C37" s="33">
        <v>133</v>
      </c>
      <c r="D37" s="35">
        <v>490562.35</v>
      </c>
      <c r="E37" s="35"/>
      <c r="F37" s="33">
        <v>2</v>
      </c>
      <c r="G37" s="33">
        <v>114</v>
      </c>
      <c r="H37" s="35">
        <v>171108.87</v>
      </c>
      <c r="I37" s="33">
        <v>6</v>
      </c>
      <c r="J37" s="33">
        <v>5</v>
      </c>
      <c r="K37" s="26">
        <v>0.83333333333333337</v>
      </c>
      <c r="L37" s="35"/>
      <c r="M37" s="33">
        <v>2</v>
      </c>
      <c r="N37" s="33">
        <v>108</v>
      </c>
      <c r="O37" s="35">
        <v>236796.77</v>
      </c>
      <c r="P37" s="35"/>
      <c r="Q37" s="33">
        <v>4</v>
      </c>
      <c r="R37" s="33">
        <v>74</v>
      </c>
      <c r="S37" s="35">
        <v>134849.18</v>
      </c>
      <c r="T37" s="75">
        <v>5</v>
      </c>
      <c r="U37" s="75">
        <v>5</v>
      </c>
      <c r="V37" s="26">
        <v>1</v>
      </c>
      <c r="W37" s="35"/>
      <c r="X37" s="33">
        <v>3</v>
      </c>
      <c r="Y37" s="33">
        <v>70</v>
      </c>
      <c r="Z37" s="35">
        <v>193638.13</v>
      </c>
      <c r="AA37" s="75">
        <v>7</v>
      </c>
      <c r="AB37" s="75">
        <v>3</v>
      </c>
      <c r="AC37" s="26">
        <v>0.42857142857142855</v>
      </c>
      <c r="AD37" s="35"/>
      <c r="AE37" s="33">
        <v>2</v>
      </c>
      <c r="AF37" s="33">
        <v>79</v>
      </c>
      <c r="AG37" s="35">
        <v>303293.77</v>
      </c>
      <c r="AH37" s="75">
        <v>5</v>
      </c>
      <c r="AI37" s="75">
        <v>3</v>
      </c>
      <c r="AJ37" s="26">
        <v>0.6</v>
      </c>
      <c r="AK37" s="35"/>
      <c r="AL37" s="99">
        <v>2</v>
      </c>
      <c r="AM37" s="99">
        <v>58</v>
      </c>
      <c r="AN37" s="91">
        <v>132658.12</v>
      </c>
      <c r="AO37" s="99">
        <v>3</v>
      </c>
      <c r="AP37" s="99">
        <v>2</v>
      </c>
      <c r="AQ37" s="84">
        <f t="shared" si="2"/>
        <v>0.66666666666666663</v>
      </c>
      <c r="AR37" s="159" t="str">
        <f t="shared" si="0"/>
        <v>OK</v>
      </c>
      <c r="AS37" t="s">
        <v>18</v>
      </c>
      <c r="AT37">
        <v>3</v>
      </c>
    </row>
    <row r="38" spans="1:46" x14ac:dyDescent="0.25">
      <c r="A38" s="16" t="s">
        <v>360</v>
      </c>
      <c r="B38" s="33">
        <v>2</v>
      </c>
      <c r="C38" s="33">
        <v>214</v>
      </c>
      <c r="D38" s="35">
        <v>16629524.92</v>
      </c>
      <c r="E38" s="35"/>
      <c r="F38" s="33">
        <v>2</v>
      </c>
      <c r="G38" s="33">
        <v>206</v>
      </c>
      <c r="H38" s="35">
        <v>7286396.3899999997</v>
      </c>
      <c r="I38" s="33">
        <v>3</v>
      </c>
      <c r="J38" s="33">
        <v>3</v>
      </c>
      <c r="K38" s="26">
        <v>1</v>
      </c>
      <c r="L38" s="35"/>
      <c r="M38" s="33">
        <v>2</v>
      </c>
      <c r="N38" s="33">
        <v>248</v>
      </c>
      <c r="O38" s="35">
        <v>6229865.9199999999</v>
      </c>
      <c r="P38" s="35"/>
      <c r="Q38" s="33">
        <v>1</v>
      </c>
      <c r="R38" s="33">
        <v>207</v>
      </c>
      <c r="S38" s="35">
        <v>7537085.1100000003</v>
      </c>
      <c r="T38" s="75">
        <v>4</v>
      </c>
      <c r="U38" s="75">
        <v>4</v>
      </c>
      <c r="V38" s="26">
        <v>1</v>
      </c>
      <c r="W38" s="35"/>
      <c r="X38" s="33">
        <v>1</v>
      </c>
      <c r="Y38" s="33">
        <v>288</v>
      </c>
      <c r="Z38" s="35">
        <v>7864998.0499999998</v>
      </c>
      <c r="AA38" s="75">
        <v>6</v>
      </c>
      <c r="AB38" s="75">
        <v>5</v>
      </c>
      <c r="AC38" s="26">
        <v>0.83333333333333337</v>
      </c>
      <c r="AD38" s="35"/>
      <c r="AE38" s="33">
        <v>1</v>
      </c>
      <c r="AF38" s="33">
        <v>317</v>
      </c>
      <c r="AG38" s="35">
        <v>7908519.46</v>
      </c>
      <c r="AH38" s="75">
        <v>4</v>
      </c>
      <c r="AI38" s="75">
        <v>4</v>
      </c>
      <c r="AJ38" s="26">
        <v>1</v>
      </c>
      <c r="AK38" s="35"/>
      <c r="AL38" s="99">
        <v>1</v>
      </c>
      <c r="AM38" s="99">
        <v>264</v>
      </c>
      <c r="AN38" s="91">
        <v>6910822.9000000013</v>
      </c>
      <c r="AO38" s="99">
        <v>7</v>
      </c>
      <c r="AP38" s="99">
        <v>7</v>
      </c>
      <c r="AQ38" s="84">
        <f t="shared" si="2"/>
        <v>1</v>
      </c>
      <c r="AR38" s="159" t="str">
        <f t="shared" si="0"/>
        <v>OK</v>
      </c>
      <c r="AS38" t="s">
        <v>360</v>
      </c>
      <c r="AT38">
        <v>7</v>
      </c>
    </row>
    <row r="39" spans="1:46" x14ac:dyDescent="0.25">
      <c r="A39" s="16" t="s">
        <v>19</v>
      </c>
      <c r="B39" s="33">
        <v>1</v>
      </c>
      <c r="C39" s="33">
        <v>38</v>
      </c>
      <c r="D39" s="35">
        <v>227303.06</v>
      </c>
      <c r="E39" s="35"/>
      <c r="F39" s="33">
        <v>1</v>
      </c>
      <c r="G39" s="33">
        <v>26</v>
      </c>
      <c r="H39" s="35">
        <v>188473.58</v>
      </c>
      <c r="I39" s="33">
        <v>2</v>
      </c>
      <c r="J39" s="33">
        <v>1</v>
      </c>
      <c r="K39" s="26">
        <v>0.5</v>
      </c>
      <c r="L39" s="35"/>
      <c r="M39" s="33">
        <v>1</v>
      </c>
      <c r="N39" s="33">
        <v>24</v>
      </c>
      <c r="O39" s="35">
        <v>125281.9</v>
      </c>
      <c r="P39" s="35"/>
      <c r="Q39" s="33">
        <v>2</v>
      </c>
      <c r="R39" s="33">
        <v>13</v>
      </c>
      <c r="S39" s="35">
        <v>141910.31</v>
      </c>
      <c r="T39" s="75">
        <v>3</v>
      </c>
      <c r="U39" s="75">
        <v>2</v>
      </c>
      <c r="V39" s="26">
        <v>0.66666666666666663</v>
      </c>
      <c r="W39" s="35"/>
      <c r="X39" s="33">
        <v>1</v>
      </c>
      <c r="Y39" s="33">
        <v>17</v>
      </c>
      <c r="Z39" s="35">
        <v>92807.37</v>
      </c>
      <c r="AA39" s="75">
        <v>4</v>
      </c>
      <c r="AB39" s="75">
        <v>2</v>
      </c>
      <c r="AC39" s="26">
        <v>0.5</v>
      </c>
      <c r="AD39" s="35"/>
      <c r="AE39" s="33">
        <v>1</v>
      </c>
      <c r="AF39" s="33">
        <v>26</v>
      </c>
      <c r="AG39" s="35">
        <v>85496.92</v>
      </c>
      <c r="AH39" s="75">
        <v>3</v>
      </c>
      <c r="AI39" s="75">
        <v>1</v>
      </c>
      <c r="AJ39" s="26">
        <v>0.33333333333333331</v>
      </c>
      <c r="AK39" s="35"/>
      <c r="AL39" s="99">
        <v>1</v>
      </c>
      <c r="AM39" s="99">
        <v>15</v>
      </c>
      <c r="AN39" s="91">
        <v>79953.239999999991</v>
      </c>
      <c r="AO39" s="99">
        <v>3</v>
      </c>
      <c r="AP39" s="99">
        <v>1</v>
      </c>
      <c r="AQ39" s="84">
        <f t="shared" si="2"/>
        <v>0.33333333333333331</v>
      </c>
      <c r="AR39" s="159" t="str">
        <f t="shared" si="0"/>
        <v>OK</v>
      </c>
      <c r="AS39" t="s">
        <v>19</v>
      </c>
      <c r="AT39">
        <v>3</v>
      </c>
    </row>
    <row r="40" spans="1:46" x14ac:dyDescent="0.25">
      <c r="A40" s="16" t="s">
        <v>385</v>
      </c>
      <c r="B40" s="33">
        <v>16</v>
      </c>
      <c r="C40" s="33">
        <v>332</v>
      </c>
      <c r="D40" s="35">
        <v>11876416.600000001</v>
      </c>
      <c r="E40" s="35"/>
      <c r="F40" s="33">
        <v>14</v>
      </c>
      <c r="G40" s="33">
        <v>331</v>
      </c>
      <c r="H40" s="35">
        <v>10040412.930000002</v>
      </c>
      <c r="I40" s="33">
        <v>11</v>
      </c>
      <c r="J40" s="33">
        <v>11</v>
      </c>
      <c r="K40" s="26">
        <v>1</v>
      </c>
      <c r="L40" s="35"/>
      <c r="M40" s="33">
        <v>14</v>
      </c>
      <c r="N40" s="33">
        <v>333</v>
      </c>
      <c r="O40" s="35">
        <v>11025414.959999999</v>
      </c>
      <c r="P40" s="35"/>
      <c r="Q40" s="33">
        <v>19</v>
      </c>
      <c r="R40" s="33">
        <v>324</v>
      </c>
      <c r="S40" s="35">
        <v>10581842.83</v>
      </c>
      <c r="T40" s="75">
        <v>13</v>
      </c>
      <c r="U40" s="75">
        <v>9</v>
      </c>
      <c r="V40" s="26">
        <v>0.69230769230769229</v>
      </c>
      <c r="W40" s="35"/>
      <c r="X40" s="33">
        <v>15</v>
      </c>
      <c r="Y40" s="33">
        <v>334</v>
      </c>
      <c r="Z40" s="35">
        <v>16489952.729999997</v>
      </c>
      <c r="AA40" s="75">
        <v>43</v>
      </c>
      <c r="AB40" s="75">
        <v>20</v>
      </c>
      <c r="AC40" s="26">
        <v>0.46511627906976744</v>
      </c>
      <c r="AD40" s="35"/>
      <c r="AE40" s="33">
        <v>8</v>
      </c>
      <c r="AF40" s="33">
        <v>237</v>
      </c>
      <c r="AG40" s="35">
        <v>17488956.470000003</v>
      </c>
      <c r="AH40" s="75">
        <v>21</v>
      </c>
      <c r="AI40" s="75">
        <v>13</v>
      </c>
      <c r="AJ40" s="26">
        <v>0.61904761904761907</v>
      </c>
      <c r="AK40" s="35"/>
      <c r="AL40" s="99">
        <v>6</v>
      </c>
      <c r="AM40" s="99">
        <v>172</v>
      </c>
      <c r="AN40" s="91">
        <v>14179144.889999999</v>
      </c>
      <c r="AO40" s="99">
        <v>20</v>
      </c>
      <c r="AP40" s="99">
        <v>14</v>
      </c>
      <c r="AQ40" s="84">
        <f t="shared" si="2"/>
        <v>0.7</v>
      </c>
      <c r="AR40" s="159" t="str">
        <f t="shared" si="0"/>
        <v>OK</v>
      </c>
      <c r="AS40" t="s">
        <v>385</v>
      </c>
      <c r="AT40">
        <v>20</v>
      </c>
    </row>
    <row r="41" spans="1:46" x14ac:dyDescent="0.25">
      <c r="A41" s="16" t="s">
        <v>31</v>
      </c>
      <c r="B41" s="33">
        <v>11</v>
      </c>
      <c r="C41" s="33">
        <v>178</v>
      </c>
      <c r="D41" s="35">
        <v>1276134.48</v>
      </c>
      <c r="E41" s="35"/>
      <c r="F41" s="33">
        <v>14</v>
      </c>
      <c r="G41" s="33">
        <v>243</v>
      </c>
      <c r="H41" s="35">
        <v>718745.26</v>
      </c>
      <c r="I41" s="33">
        <v>14</v>
      </c>
      <c r="J41" s="33">
        <v>10</v>
      </c>
      <c r="K41" s="26">
        <v>0.7142857142857143</v>
      </c>
      <c r="L41" s="35"/>
      <c r="M41" s="33">
        <v>12</v>
      </c>
      <c r="N41" s="33">
        <v>280</v>
      </c>
      <c r="O41" s="35">
        <v>680723.61</v>
      </c>
      <c r="P41" s="35"/>
      <c r="Q41" s="33">
        <v>17</v>
      </c>
      <c r="R41" s="33">
        <v>301</v>
      </c>
      <c r="S41" s="35">
        <v>961955.19000000006</v>
      </c>
      <c r="T41" s="75">
        <v>13</v>
      </c>
      <c r="U41" s="75">
        <v>9</v>
      </c>
      <c r="V41" s="26">
        <v>0.69230769230769229</v>
      </c>
      <c r="W41" s="35"/>
      <c r="X41" s="33">
        <v>13</v>
      </c>
      <c r="Y41" s="33">
        <v>265</v>
      </c>
      <c r="Z41" s="35">
        <v>1883747.94</v>
      </c>
      <c r="AA41" s="75">
        <v>32</v>
      </c>
      <c r="AB41" s="75">
        <v>12</v>
      </c>
      <c r="AC41" s="26">
        <v>0.375</v>
      </c>
      <c r="AD41" s="35"/>
      <c r="AE41" s="33">
        <v>11</v>
      </c>
      <c r="AF41" s="33">
        <v>189</v>
      </c>
      <c r="AG41" s="35">
        <v>658805.6</v>
      </c>
      <c r="AH41" s="75">
        <v>22</v>
      </c>
      <c r="AI41" s="75">
        <v>10</v>
      </c>
      <c r="AJ41" s="26">
        <v>0.45454545454545453</v>
      </c>
      <c r="AK41" s="35"/>
      <c r="AL41" s="99">
        <v>11</v>
      </c>
      <c r="AM41" s="99">
        <v>82</v>
      </c>
      <c r="AN41" s="91">
        <v>3579839.0500000003</v>
      </c>
      <c r="AO41" s="99">
        <v>22</v>
      </c>
      <c r="AP41" s="99">
        <v>8</v>
      </c>
      <c r="AQ41" s="84">
        <f t="shared" si="2"/>
        <v>0.36363636363636365</v>
      </c>
      <c r="AR41" s="159" t="str">
        <f t="shared" si="0"/>
        <v>OK</v>
      </c>
      <c r="AS41" t="s">
        <v>31</v>
      </c>
      <c r="AT41">
        <v>22</v>
      </c>
    </row>
    <row r="42" spans="1:46" x14ac:dyDescent="0.25">
      <c r="A42" s="16" t="s">
        <v>20</v>
      </c>
      <c r="B42" s="33">
        <v>8</v>
      </c>
      <c r="C42" s="33">
        <v>386</v>
      </c>
      <c r="D42" s="35">
        <v>4941625.38</v>
      </c>
      <c r="E42" s="35"/>
      <c r="F42" s="33">
        <v>5</v>
      </c>
      <c r="G42" s="33">
        <v>381</v>
      </c>
      <c r="H42" s="35">
        <v>3368221.6799999997</v>
      </c>
      <c r="I42" s="33">
        <v>12</v>
      </c>
      <c r="J42" s="33">
        <v>8</v>
      </c>
      <c r="K42" s="26">
        <v>0.66666666666666663</v>
      </c>
      <c r="L42" s="35"/>
      <c r="M42" s="33">
        <v>4</v>
      </c>
      <c r="N42" s="33">
        <v>267</v>
      </c>
      <c r="O42" s="35">
        <v>3371615.4</v>
      </c>
      <c r="P42" s="35"/>
      <c r="Q42" s="33">
        <v>8</v>
      </c>
      <c r="R42" s="33">
        <v>134</v>
      </c>
      <c r="S42" s="35">
        <v>2967759.26</v>
      </c>
      <c r="T42" s="75">
        <v>7</v>
      </c>
      <c r="U42" s="75">
        <v>5</v>
      </c>
      <c r="V42" s="26">
        <v>0.7142857142857143</v>
      </c>
      <c r="W42" s="35"/>
      <c r="X42" s="33">
        <v>7</v>
      </c>
      <c r="Y42" s="33">
        <v>165</v>
      </c>
      <c r="Z42" s="35">
        <v>2854471.6</v>
      </c>
      <c r="AA42" s="75">
        <v>16</v>
      </c>
      <c r="AB42" s="75">
        <v>9</v>
      </c>
      <c r="AC42" s="26">
        <v>0.5625</v>
      </c>
      <c r="AD42" s="35"/>
      <c r="AE42" s="33">
        <v>4</v>
      </c>
      <c r="AF42" s="33">
        <v>142</v>
      </c>
      <c r="AG42" s="35">
        <v>2228100.2000000002</v>
      </c>
      <c r="AH42" s="75">
        <v>7</v>
      </c>
      <c r="AI42" s="75">
        <v>6</v>
      </c>
      <c r="AJ42" s="26">
        <v>0.8571428571428571</v>
      </c>
      <c r="AK42" s="35"/>
      <c r="AL42" s="99">
        <v>5</v>
      </c>
      <c r="AM42" s="99">
        <v>92</v>
      </c>
      <c r="AN42" s="91">
        <v>2067448.5500000003</v>
      </c>
      <c r="AO42" s="99">
        <v>8</v>
      </c>
      <c r="AP42" s="99">
        <v>5</v>
      </c>
      <c r="AQ42" s="84">
        <f t="shared" si="2"/>
        <v>0.625</v>
      </c>
      <c r="AR42" s="159" t="str">
        <f t="shared" si="0"/>
        <v>OK</v>
      </c>
      <c r="AS42" t="s">
        <v>20</v>
      </c>
      <c r="AT42">
        <v>8</v>
      </c>
    </row>
    <row r="43" spans="1:46" x14ac:dyDescent="0.25">
      <c r="A43" s="16" t="s">
        <v>42</v>
      </c>
      <c r="B43" s="33">
        <v>1</v>
      </c>
      <c r="C43" s="33">
        <v>495</v>
      </c>
      <c r="D43" s="35">
        <v>22793294.68</v>
      </c>
      <c r="E43" s="35"/>
      <c r="F43" s="33">
        <v>2</v>
      </c>
      <c r="G43" s="33">
        <v>753</v>
      </c>
      <c r="H43" s="35">
        <v>23526143.560000002</v>
      </c>
      <c r="I43" s="33">
        <v>2</v>
      </c>
      <c r="J43" s="33">
        <v>2</v>
      </c>
      <c r="K43" s="26">
        <v>1</v>
      </c>
      <c r="L43" s="35"/>
      <c r="M43" s="33">
        <v>1</v>
      </c>
      <c r="N43" s="33">
        <v>964</v>
      </c>
      <c r="O43" s="35">
        <v>24418075.84</v>
      </c>
      <c r="P43" s="35"/>
      <c r="Q43" s="33">
        <v>1</v>
      </c>
      <c r="R43" s="33">
        <v>930</v>
      </c>
      <c r="S43" s="35">
        <v>22945554.609999999</v>
      </c>
      <c r="T43" s="75">
        <v>1</v>
      </c>
      <c r="U43" s="75">
        <v>1</v>
      </c>
      <c r="V43" s="26">
        <v>1</v>
      </c>
      <c r="W43" s="35"/>
      <c r="X43" s="33">
        <v>1</v>
      </c>
      <c r="Y43" s="33">
        <v>933</v>
      </c>
      <c r="Z43" s="35">
        <v>23416183.620000001</v>
      </c>
      <c r="AA43" s="75">
        <v>6</v>
      </c>
      <c r="AB43" s="75">
        <v>5</v>
      </c>
      <c r="AC43" s="26">
        <v>0.83333333333333337</v>
      </c>
      <c r="AD43" s="35"/>
      <c r="AE43" s="33">
        <v>1</v>
      </c>
      <c r="AF43" s="33">
        <v>951</v>
      </c>
      <c r="AG43" s="35">
        <v>22099019.32</v>
      </c>
      <c r="AH43" s="75">
        <v>4</v>
      </c>
      <c r="AI43" s="75">
        <v>4</v>
      </c>
      <c r="AJ43" s="26">
        <v>1</v>
      </c>
      <c r="AK43" s="35"/>
      <c r="AL43" s="99">
        <v>1</v>
      </c>
      <c r="AM43" s="99">
        <v>719</v>
      </c>
      <c r="AN43" s="91">
        <v>19023774.75</v>
      </c>
      <c r="AO43" s="99">
        <v>4</v>
      </c>
      <c r="AP43" s="99">
        <v>3</v>
      </c>
      <c r="AQ43" s="84">
        <f t="shared" si="2"/>
        <v>0.75</v>
      </c>
      <c r="AR43" s="159" t="str">
        <f t="shared" si="0"/>
        <v>OK</v>
      </c>
      <c r="AS43" t="s">
        <v>42</v>
      </c>
      <c r="AT43">
        <v>4</v>
      </c>
    </row>
    <row r="44" spans="1:46" x14ac:dyDescent="0.25">
      <c r="A44" s="16" t="s">
        <v>43</v>
      </c>
      <c r="B44" s="33">
        <v>1</v>
      </c>
      <c r="C44" s="33">
        <v>299</v>
      </c>
      <c r="D44" s="35">
        <v>27210735.48</v>
      </c>
      <c r="E44" s="35"/>
      <c r="F44" s="33">
        <v>2</v>
      </c>
      <c r="G44" s="33">
        <v>390</v>
      </c>
      <c r="H44" s="35">
        <v>27681756.620000001</v>
      </c>
      <c r="I44" s="33">
        <v>1</v>
      </c>
      <c r="J44" s="33">
        <v>1</v>
      </c>
      <c r="K44" s="26">
        <v>1</v>
      </c>
      <c r="L44" s="35"/>
      <c r="M44" s="33">
        <v>1</v>
      </c>
      <c r="N44" s="33">
        <v>995</v>
      </c>
      <c r="O44" s="35">
        <v>26297138.219999999</v>
      </c>
      <c r="P44" s="35"/>
      <c r="Q44" s="33">
        <v>1</v>
      </c>
      <c r="R44" s="33">
        <v>942</v>
      </c>
      <c r="S44" s="35">
        <v>21133618.050000001</v>
      </c>
      <c r="T44" s="75">
        <v>1</v>
      </c>
      <c r="U44" s="75">
        <v>1</v>
      </c>
      <c r="V44" s="26">
        <v>1</v>
      </c>
      <c r="W44" s="35"/>
      <c r="X44" s="33">
        <v>1</v>
      </c>
      <c r="Y44" s="33">
        <v>916</v>
      </c>
      <c r="Z44" s="35">
        <v>19231144.620000001</v>
      </c>
      <c r="AA44" s="75">
        <v>7</v>
      </c>
      <c r="AB44" s="75">
        <v>5</v>
      </c>
      <c r="AC44" s="26">
        <v>0.7142857142857143</v>
      </c>
      <c r="AD44" s="35"/>
      <c r="AE44" s="33">
        <v>1</v>
      </c>
      <c r="AF44" s="33">
        <v>854</v>
      </c>
      <c r="AG44" s="35">
        <v>16388219.119999999</v>
      </c>
      <c r="AH44" s="75">
        <v>5</v>
      </c>
      <c r="AI44" s="75">
        <v>4</v>
      </c>
      <c r="AJ44" s="26">
        <v>0.8</v>
      </c>
      <c r="AK44" s="35"/>
      <c r="AL44" s="99">
        <v>1</v>
      </c>
      <c r="AM44" s="99">
        <v>675</v>
      </c>
      <c r="AN44" s="91">
        <v>15216272.489999998</v>
      </c>
      <c r="AO44" s="99">
        <v>8</v>
      </c>
      <c r="AP44" s="99">
        <v>5</v>
      </c>
      <c r="AQ44" s="84">
        <f t="shared" si="2"/>
        <v>0.625</v>
      </c>
      <c r="AR44" s="159" t="str">
        <f t="shared" si="0"/>
        <v>OK</v>
      </c>
      <c r="AS44" t="s">
        <v>43</v>
      </c>
      <c r="AT44">
        <v>8</v>
      </c>
    </row>
    <row r="45" spans="1:46" x14ac:dyDescent="0.25">
      <c r="A45" s="16" t="s">
        <v>34</v>
      </c>
      <c r="B45" s="33"/>
      <c r="C45" s="33"/>
      <c r="D45" s="35"/>
      <c r="E45" s="35"/>
      <c r="F45" s="33"/>
      <c r="G45" s="33"/>
      <c r="H45" s="35"/>
      <c r="I45" s="33"/>
      <c r="J45" s="33"/>
      <c r="K45" s="26"/>
      <c r="L45" s="35"/>
      <c r="M45" s="33">
        <v>1</v>
      </c>
      <c r="N45" s="33">
        <v>4</v>
      </c>
      <c r="O45" s="35">
        <v>964699.34</v>
      </c>
      <c r="P45" s="35"/>
      <c r="Q45" s="33">
        <v>1</v>
      </c>
      <c r="R45" s="33">
        <v>22</v>
      </c>
      <c r="S45" s="35">
        <v>52408.59</v>
      </c>
      <c r="T45" s="75">
        <v>1</v>
      </c>
      <c r="U45" s="75">
        <v>0</v>
      </c>
      <c r="V45" s="26">
        <v>0</v>
      </c>
      <c r="W45" s="35"/>
      <c r="X45" s="33">
        <v>1</v>
      </c>
      <c r="Y45" s="33">
        <v>27</v>
      </c>
      <c r="Z45" s="35">
        <v>2211315.19</v>
      </c>
      <c r="AA45" s="75">
        <v>4</v>
      </c>
      <c r="AB45" s="75">
        <v>0</v>
      </c>
      <c r="AC45" s="26">
        <v>0</v>
      </c>
      <c r="AD45" s="35"/>
      <c r="AE45" s="33">
        <v>1</v>
      </c>
      <c r="AF45" s="33">
        <v>18</v>
      </c>
      <c r="AG45" s="35">
        <v>350588.11</v>
      </c>
      <c r="AH45" s="75">
        <v>3</v>
      </c>
      <c r="AI45" s="75">
        <v>1</v>
      </c>
      <c r="AJ45" s="26">
        <v>0.33333333333333331</v>
      </c>
      <c r="AK45" s="35"/>
      <c r="AL45" s="99">
        <v>1</v>
      </c>
      <c r="AM45" s="99">
        <v>20</v>
      </c>
      <c r="AN45" s="91">
        <v>270829.19</v>
      </c>
      <c r="AO45" s="99">
        <v>3</v>
      </c>
      <c r="AP45" s="99">
        <v>1</v>
      </c>
      <c r="AQ45" s="84">
        <f t="shared" si="2"/>
        <v>0.33333333333333331</v>
      </c>
      <c r="AR45" s="159" t="str">
        <f t="shared" si="0"/>
        <v>OK</v>
      </c>
      <c r="AS45" t="s">
        <v>34</v>
      </c>
      <c r="AT45">
        <v>3</v>
      </c>
    </row>
    <row r="46" spans="1:46" x14ac:dyDescent="0.25">
      <c r="A46" s="16" t="s">
        <v>35</v>
      </c>
      <c r="B46" s="33"/>
      <c r="C46" s="33"/>
      <c r="D46" s="35"/>
      <c r="E46" s="35"/>
      <c r="F46" s="33"/>
      <c r="G46" s="33"/>
      <c r="H46" s="35"/>
      <c r="I46" s="33"/>
      <c r="J46" s="33"/>
      <c r="K46" s="26"/>
      <c r="L46" s="35"/>
      <c r="M46" s="33">
        <v>1</v>
      </c>
      <c r="N46" s="33">
        <v>3</v>
      </c>
      <c r="O46" s="35">
        <v>4987.55</v>
      </c>
      <c r="P46" s="35"/>
      <c r="Q46" s="33">
        <v>1</v>
      </c>
      <c r="R46" s="33">
        <v>8</v>
      </c>
      <c r="S46" s="35">
        <v>19743.560000000001</v>
      </c>
      <c r="T46" s="75">
        <v>2</v>
      </c>
      <c r="U46" s="75">
        <v>2</v>
      </c>
      <c r="V46" s="26">
        <v>1</v>
      </c>
      <c r="W46" s="35"/>
      <c r="X46" s="33">
        <v>1</v>
      </c>
      <c r="Y46" s="33">
        <v>9</v>
      </c>
      <c r="Z46" s="35">
        <v>11883</v>
      </c>
      <c r="AA46" s="75">
        <v>2</v>
      </c>
      <c r="AB46" s="75">
        <v>1</v>
      </c>
      <c r="AC46" s="26">
        <v>0.5</v>
      </c>
      <c r="AD46" s="35"/>
      <c r="AE46" s="33">
        <v>1</v>
      </c>
      <c r="AF46" s="33">
        <v>18</v>
      </c>
      <c r="AG46" s="35">
        <v>18140.66</v>
      </c>
      <c r="AH46" s="75">
        <v>2</v>
      </c>
      <c r="AI46" s="75">
        <v>1</v>
      </c>
      <c r="AJ46" s="26">
        <v>0.5</v>
      </c>
      <c r="AK46" s="35"/>
      <c r="AL46" s="99">
        <v>1</v>
      </c>
      <c r="AM46" s="99">
        <v>15</v>
      </c>
      <c r="AN46" s="91">
        <v>44625.22</v>
      </c>
      <c r="AO46" s="99">
        <v>2</v>
      </c>
      <c r="AP46" s="99">
        <v>2</v>
      </c>
      <c r="AQ46" s="84">
        <f t="shared" si="2"/>
        <v>1</v>
      </c>
      <c r="AR46" s="159" t="str">
        <f t="shared" si="0"/>
        <v>OK</v>
      </c>
      <c r="AS46" t="s">
        <v>35</v>
      </c>
      <c r="AT46">
        <v>2</v>
      </c>
    </row>
    <row r="47" spans="1:46" x14ac:dyDescent="0.25">
      <c r="A47" s="16" t="s">
        <v>386</v>
      </c>
      <c r="B47" s="33">
        <v>4</v>
      </c>
      <c r="C47" s="33">
        <v>322</v>
      </c>
      <c r="D47" s="35">
        <v>1512740.58</v>
      </c>
      <c r="E47" s="35"/>
      <c r="F47" s="33">
        <v>4</v>
      </c>
      <c r="G47" s="33">
        <v>313</v>
      </c>
      <c r="H47" s="35">
        <v>1537191.01</v>
      </c>
      <c r="I47" s="33">
        <v>3</v>
      </c>
      <c r="J47" s="33">
        <v>3</v>
      </c>
      <c r="K47" s="26">
        <v>1</v>
      </c>
      <c r="L47" s="35"/>
      <c r="M47" s="33">
        <v>5</v>
      </c>
      <c r="N47" s="33">
        <v>279</v>
      </c>
      <c r="O47" s="35">
        <v>1713850.9999999998</v>
      </c>
      <c r="P47" s="35"/>
      <c r="Q47" s="33">
        <v>7</v>
      </c>
      <c r="R47" s="33">
        <v>286</v>
      </c>
      <c r="S47" s="35">
        <v>1848321.6399999997</v>
      </c>
      <c r="T47" s="75">
        <v>5</v>
      </c>
      <c r="U47" s="75">
        <v>4</v>
      </c>
      <c r="V47" s="26">
        <v>0.8</v>
      </c>
      <c r="W47" s="35"/>
      <c r="X47" s="33">
        <v>4</v>
      </c>
      <c r="Y47" s="33">
        <v>228</v>
      </c>
      <c r="Z47" s="35">
        <v>1765853.03</v>
      </c>
      <c r="AA47" s="75">
        <v>7</v>
      </c>
      <c r="AB47" s="75">
        <v>5</v>
      </c>
      <c r="AC47" s="26">
        <v>0.7142857142857143</v>
      </c>
      <c r="AD47" s="35"/>
      <c r="AE47" s="33">
        <v>4</v>
      </c>
      <c r="AF47" s="33">
        <v>170</v>
      </c>
      <c r="AG47" s="35">
        <v>1767678.9300000002</v>
      </c>
      <c r="AH47" s="75">
        <v>7</v>
      </c>
      <c r="AI47" s="75">
        <v>4</v>
      </c>
      <c r="AJ47" s="26">
        <v>0.5714285714285714</v>
      </c>
      <c r="AK47" s="35"/>
      <c r="AL47" s="99">
        <v>4</v>
      </c>
      <c r="AM47" s="99">
        <v>107</v>
      </c>
      <c r="AN47" s="91">
        <v>1545582.5300000003</v>
      </c>
      <c r="AO47" s="99">
        <v>7</v>
      </c>
      <c r="AP47" s="99">
        <v>4</v>
      </c>
      <c r="AQ47" s="84">
        <f t="shared" si="2"/>
        <v>0.5714285714285714</v>
      </c>
      <c r="AR47" s="159" t="str">
        <f t="shared" si="0"/>
        <v>OK</v>
      </c>
      <c r="AS47" t="s">
        <v>386</v>
      </c>
      <c r="AT47">
        <v>7</v>
      </c>
    </row>
    <row r="48" spans="1:46" x14ac:dyDescent="0.25">
      <c r="A48" s="16" t="s">
        <v>36</v>
      </c>
      <c r="B48" s="33">
        <v>5</v>
      </c>
      <c r="C48" s="33">
        <v>173</v>
      </c>
      <c r="D48" s="35">
        <v>13957722.970000001</v>
      </c>
      <c r="E48" s="35"/>
      <c r="F48" s="33">
        <v>5</v>
      </c>
      <c r="G48" s="33">
        <v>179</v>
      </c>
      <c r="H48" s="35">
        <v>13453845.040000001</v>
      </c>
      <c r="I48" s="33">
        <v>7</v>
      </c>
      <c r="J48" s="33">
        <v>6</v>
      </c>
      <c r="K48" s="26">
        <v>0.8571428571428571</v>
      </c>
      <c r="L48" s="35"/>
      <c r="M48" s="33">
        <v>6</v>
      </c>
      <c r="N48" s="33">
        <v>193</v>
      </c>
      <c r="O48" s="35">
        <v>9789193.9400000013</v>
      </c>
      <c r="P48" s="35"/>
      <c r="Q48" s="33">
        <v>8</v>
      </c>
      <c r="R48" s="33">
        <v>197</v>
      </c>
      <c r="S48" s="35">
        <v>11418378.459999997</v>
      </c>
      <c r="T48" s="75">
        <v>10</v>
      </c>
      <c r="U48" s="75">
        <v>8</v>
      </c>
      <c r="V48" s="26">
        <v>0.8</v>
      </c>
      <c r="W48" s="35"/>
      <c r="X48" s="33">
        <v>5</v>
      </c>
      <c r="Y48" s="33">
        <v>338</v>
      </c>
      <c r="Z48" s="35">
        <v>72204520.739999995</v>
      </c>
      <c r="AA48" s="75">
        <v>21</v>
      </c>
      <c r="AB48" s="75">
        <v>17</v>
      </c>
      <c r="AC48" s="26">
        <v>0.80952380952380953</v>
      </c>
      <c r="AD48" s="35"/>
      <c r="AE48" s="33">
        <v>5</v>
      </c>
      <c r="AF48" s="33">
        <v>324</v>
      </c>
      <c r="AG48" s="35">
        <v>71650085.609999999</v>
      </c>
      <c r="AH48" s="75">
        <v>17</v>
      </c>
      <c r="AI48" s="75">
        <v>12</v>
      </c>
      <c r="AJ48" s="26">
        <v>0.70588235294117652</v>
      </c>
      <c r="AK48" s="35"/>
      <c r="AL48" s="99">
        <v>4</v>
      </c>
      <c r="AM48" s="99">
        <v>298</v>
      </c>
      <c r="AN48" s="91">
        <v>72218638.790000007</v>
      </c>
      <c r="AO48" s="99">
        <v>16</v>
      </c>
      <c r="AP48" s="99">
        <v>13</v>
      </c>
      <c r="AQ48" s="84">
        <f t="shared" si="2"/>
        <v>0.8125</v>
      </c>
      <c r="AR48" s="159" t="str">
        <f t="shared" si="0"/>
        <v>OK</v>
      </c>
      <c r="AS48" t="s">
        <v>36</v>
      </c>
      <c r="AT48">
        <v>16</v>
      </c>
    </row>
    <row r="49" spans="1:46" x14ac:dyDescent="0.25">
      <c r="A49" s="16" t="s">
        <v>38</v>
      </c>
      <c r="B49" s="33"/>
      <c r="C49" s="33"/>
      <c r="D49" s="35"/>
      <c r="E49" s="35"/>
      <c r="F49" s="33"/>
      <c r="G49" s="33"/>
      <c r="H49" s="35"/>
      <c r="I49" s="33"/>
      <c r="J49" s="33"/>
      <c r="K49" s="26"/>
      <c r="L49" s="35"/>
      <c r="M49" s="33">
        <v>1</v>
      </c>
      <c r="N49" s="33">
        <v>5</v>
      </c>
      <c r="O49" s="35">
        <v>6745.88</v>
      </c>
      <c r="P49" s="35"/>
      <c r="Q49" s="33">
        <v>1</v>
      </c>
      <c r="R49" s="33">
        <v>31</v>
      </c>
      <c r="S49" s="35">
        <v>171802.9</v>
      </c>
      <c r="T49" s="75">
        <v>3</v>
      </c>
      <c r="U49" s="75">
        <v>1</v>
      </c>
      <c r="V49" s="26">
        <v>0.33333333333333331</v>
      </c>
      <c r="W49" s="35"/>
      <c r="X49" s="33">
        <v>1</v>
      </c>
      <c r="Y49" s="33">
        <v>17</v>
      </c>
      <c r="Z49" s="35">
        <v>99961.26</v>
      </c>
      <c r="AA49" s="75">
        <v>2</v>
      </c>
      <c r="AB49" s="75">
        <v>0</v>
      </c>
      <c r="AC49" s="26">
        <v>0</v>
      </c>
      <c r="AD49" s="35"/>
      <c r="AE49" s="33">
        <v>1</v>
      </c>
      <c r="AF49" s="33">
        <v>7</v>
      </c>
      <c r="AG49" s="35">
        <v>75775.360000000001</v>
      </c>
      <c r="AH49" s="75">
        <v>2</v>
      </c>
      <c r="AI49" s="75"/>
      <c r="AJ49" s="26">
        <v>0</v>
      </c>
      <c r="AK49" s="35"/>
      <c r="AL49" s="99">
        <v>1</v>
      </c>
      <c r="AM49" s="99">
        <v>19</v>
      </c>
      <c r="AN49" s="91">
        <v>45735.810000000005</v>
      </c>
      <c r="AO49" s="99">
        <v>2</v>
      </c>
      <c r="AP49" s="99"/>
      <c r="AQ49" s="84">
        <f t="shared" si="2"/>
        <v>0</v>
      </c>
      <c r="AR49" s="159" t="str">
        <f t="shared" si="0"/>
        <v>OK</v>
      </c>
      <c r="AS49" t="s">
        <v>38</v>
      </c>
      <c r="AT49">
        <v>2</v>
      </c>
    </row>
    <row r="50" spans="1:46" x14ac:dyDescent="0.25">
      <c r="A50" s="16" t="s">
        <v>39</v>
      </c>
      <c r="B50" s="33">
        <v>4</v>
      </c>
      <c r="C50" s="33">
        <v>733</v>
      </c>
      <c r="D50" s="35">
        <v>27166103.300000001</v>
      </c>
      <c r="E50" s="35"/>
      <c r="F50" s="33">
        <v>4</v>
      </c>
      <c r="G50" s="33">
        <v>589</v>
      </c>
      <c r="H50" s="35">
        <v>18067058.550000001</v>
      </c>
      <c r="I50" s="33">
        <v>11</v>
      </c>
      <c r="J50" s="33">
        <v>10</v>
      </c>
      <c r="K50" s="26">
        <v>0.90909090909090906</v>
      </c>
      <c r="L50" s="35"/>
      <c r="M50" s="33">
        <v>4</v>
      </c>
      <c r="N50" s="33">
        <v>572</v>
      </c>
      <c r="O50" s="35">
        <v>27424713.379999999</v>
      </c>
      <c r="P50" s="35"/>
      <c r="Q50" s="33">
        <v>8</v>
      </c>
      <c r="R50" s="33">
        <v>516</v>
      </c>
      <c r="S50" s="35">
        <v>22231697.839999996</v>
      </c>
      <c r="T50" s="75">
        <v>12</v>
      </c>
      <c r="U50" s="75">
        <v>12</v>
      </c>
      <c r="V50" s="26">
        <v>1</v>
      </c>
      <c r="W50" s="35"/>
      <c r="X50" s="33">
        <v>4</v>
      </c>
      <c r="Y50" s="33">
        <v>459</v>
      </c>
      <c r="Z50" s="35">
        <v>20032366.899999999</v>
      </c>
      <c r="AA50" s="75">
        <v>20</v>
      </c>
      <c r="AB50" s="75">
        <v>14</v>
      </c>
      <c r="AC50" s="26">
        <v>0.7</v>
      </c>
      <c r="AD50" s="35"/>
      <c r="AE50" s="33">
        <v>3</v>
      </c>
      <c r="AF50" s="33">
        <v>388</v>
      </c>
      <c r="AG50" s="35">
        <v>1509468.8</v>
      </c>
      <c r="AH50" s="75">
        <v>11</v>
      </c>
      <c r="AI50" s="75">
        <v>8</v>
      </c>
      <c r="AJ50" s="26">
        <v>0.72727272727272729</v>
      </c>
      <c r="AK50" s="35"/>
      <c r="AL50" s="99">
        <v>3</v>
      </c>
      <c r="AM50" s="99">
        <v>298</v>
      </c>
      <c r="AN50" s="91">
        <v>797415.77</v>
      </c>
      <c r="AO50" s="99">
        <v>16</v>
      </c>
      <c r="AP50" s="99">
        <v>10</v>
      </c>
      <c r="AQ50" s="84">
        <f t="shared" si="2"/>
        <v>0.625</v>
      </c>
      <c r="AR50" s="159" t="str">
        <f t="shared" si="0"/>
        <v>OK</v>
      </c>
      <c r="AS50" t="s">
        <v>39</v>
      </c>
      <c r="AT50">
        <v>16</v>
      </c>
    </row>
    <row r="51" spans="1:46" x14ac:dyDescent="0.25">
      <c r="A51" s="16" t="s">
        <v>40</v>
      </c>
      <c r="B51" s="33">
        <v>26</v>
      </c>
      <c r="C51" s="33">
        <v>3237</v>
      </c>
      <c r="D51" s="35">
        <v>12527171.17</v>
      </c>
      <c r="E51" s="35"/>
      <c r="F51" s="33">
        <v>49</v>
      </c>
      <c r="G51" s="33">
        <v>5909</v>
      </c>
      <c r="H51" s="35">
        <v>12029078.93</v>
      </c>
      <c r="I51" s="33">
        <v>73</v>
      </c>
      <c r="J51" s="33">
        <v>52</v>
      </c>
      <c r="K51" s="26">
        <v>0.71232876712328763</v>
      </c>
      <c r="L51" s="35"/>
      <c r="M51" s="33">
        <v>51</v>
      </c>
      <c r="N51" s="33">
        <v>6545</v>
      </c>
      <c r="O51" s="35">
        <v>9527056.2899999991</v>
      </c>
      <c r="P51" s="35"/>
      <c r="Q51" s="33">
        <v>84</v>
      </c>
      <c r="R51" s="33">
        <v>6039</v>
      </c>
      <c r="S51" s="35">
        <v>10256590.9</v>
      </c>
      <c r="T51" s="75">
        <v>70</v>
      </c>
      <c r="U51" s="75">
        <v>45</v>
      </c>
      <c r="V51" s="26">
        <v>0.6428571428571429</v>
      </c>
      <c r="W51" s="35"/>
      <c r="X51" s="33">
        <v>48</v>
      </c>
      <c r="Y51" s="33">
        <v>5789</v>
      </c>
      <c r="Z51" s="35">
        <v>9550445.0299999993</v>
      </c>
      <c r="AA51" s="75">
        <v>116</v>
      </c>
      <c r="AB51" s="75">
        <v>67</v>
      </c>
      <c r="AC51" s="26">
        <v>0.57758620689655171</v>
      </c>
      <c r="AD51" s="35"/>
      <c r="AE51" s="33">
        <v>43</v>
      </c>
      <c r="AF51" s="33">
        <v>4992</v>
      </c>
      <c r="AG51" s="35">
        <v>10040762.879999999</v>
      </c>
      <c r="AH51" s="75">
        <v>106</v>
      </c>
      <c r="AI51" s="75">
        <v>69</v>
      </c>
      <c r="AJ51" s="26">
        <v>0.65094339622641506</v>
      </c>
      <c r="AK51" s="35"/>
      <c r="AL51" s="99">
        <v>44</v>
      </c>
      <c r="AM51" s="99">
        <v>3621</v>
      </c>
      <c r="AN51" s="91">
        <v>6432976.9400000004</v>
      </c>
      <c r="AO51" s="99">
        <v>140</v>
      </c>
      <c r="AP51" s="99">
        <v>102</v>
      </c>
      <c r="AQ51" s="84">
        <f t="shared" si="2"/>
        <v>0.72857142857142854</v>
      </c>
      <c r="AR51" s="159" t="str">
        <f t="shared" si="0"/>
        <v>OK</v>
      </c>
      <c r="AS51" t="s">
        <v>40</v>
      </c>
      <c r="AT51">
        <v>140</v>
      </c>
    </row>
    <row r="52" spans="1:46" x14ac:dyDescent="0.25">
      <c r="A52" s="16"/>
      <c r="B52" s="33"/>
      <c r="C52" s="16"/>
      <c r="D52" s="16"/>
      <c r="E52" s="16"/>
      <c r="F52" s="16"/>
      <c r="G52" s="16"/>
      <c r="H52" s="16"/>
      <c r="I52" s="33"/>
      <c r="J52" s="33"/>
      <c r="K52" s="34"/>
      <c r="L52" s="16"/>
      <c r="M52" s="16"/>
      <c r="N52" s="33"/>
      <c r="O52" s="16"/>
      <c r="P52" s="16"/>
      <c r="Q52" s="16"/>
      <c r="R52" s="33"/>
      <c r="S52" s="16"/>
      <c r="T52" s="33"/>
      <c r="U52" s="33"/>
      <c r="V52" s="34"/>
      <c r="W52" s="16"/>
      <c r="X52" s="16"/>
      <c r="Y52" s="33"/>
      <c r="Z52" s="16"/>
      <c r="AA52" s="33"/>
      <c r="AB52" s="33"/>
      <c r="AC52" s="34"/>
      <c r="AD52" s="16"/>
      <c r="AE52" s="16"/>
      <c r="AF52" s="33"/>
      <c r="AG52" s="16"/>
      <c r="AH52" s="33"/>
      <c r="AI52" s="33"/>
      <c r="AJ52" s="34"/>
      <c r="AK52" s="16"/>
      <c r="AL52" s="99"/>
      <c r="AM52" s="99"/>
      <c r="AN52" s="92"/>
      <c r="AO52" s="51"/>
      <c r="AP52" s="51"/>
      <c r="AQ52" s="104"/>
    </row>
    <row r="53" spans="1:46" ht="15.75" thickBot="1" x14ac:dyDescent="0.3">
      <c r="A53" s="25" t="s">
        <v>123</v>
      </c>
      <c r="B53" s="28">
        <v>403</v>
      </c>
      <c r="C53" s="28">
        <v>34381</v>
      </c>
      <c r="D53" s="36">
        <v>608379971.28000009</v>
      </c>
      <c r="E53" s="309"/>
      <c r="F53" s="28">
        <v>404</v>
      </c>
      <c r="G53" s="28">
        <v>37562</v>
      </c>
      <c r="H53" s="36">
        <v>583975424.8499999</v>
      </c>
      <c r="I53" s="28">
        <v>598</v>
      </c>
      <c r="J53" s="28">
        <v>451</v>
      </c>
      <c r="K53" s="27">
        <v>0.75418060200668902</v>
      </c>
      <c r="L53" s="309"/>
      <c r="M53" s="28">
        <v>398</v>
      </c>
      <c r="N53" s="28">
        <v>39037</v>
      </c>
      <c r="O53" s="36">
        <v>601395570.47000003</v>
      </c>
      <c r="P53" s="309"/>
      <c r="Q53" s="28">
        <v>593</v>
      </c>
      <c r="R53" s="28">
        <v>36013</v>
      </c>
      <c r="S53" s="36">
        <v>547335922.30999982</v>
      </c>
      <c r="T53" s="28">
        <v>571</v>
      </c>
      <c r="U53" s="28">
        <v>411</v>
      </c>
      <c r="V53" s="27">
        <v>0.71978984238178634</v>
      </c>
      <c r="W53" s="309"/>
      <c r="X53" s="28">
        <v>355</v>
      </c>
      <c r="Y53" s="28">
        <v>36034</v>
      </c>
      <c r="Z53" s="36">
        <v>642474554.29999995</v>
      </c>
      <c r="AA53" s="28">
        <v>1362</v>
      </c>
      <c r="AB53" s="28">
        <v>683</v>
      </c>
      <c r="AC53" s="27">
        <v>0.50146842878120412</v>
      </c>
      <c r="AD53" s="309"/>
      <c r="AE53" s="28">
        <v>344</v>
      </c>
      <c r="AF53" s="28">
        <v>34377</v>
      </c>
      <c r="AG53" s="36">
        <v>614750472.97000015</v>
      </c>
      <c r="AH53" s="28">
        <v>789</v>
      </c>
      <c r="AI53" s="28">
        <v>486</v>
      </c>
      <c r="AJ53" s="27">
        <v>0.61596958174904948</v>
      </c>
      <c r="AK53" s="309"/>
      <c r="AL53" s="98">
        <f t="shared" ref="AL53:AN53" si="3">SUM(AL6:AL51)</f>
        <v>322</v>
      </c>
      <c r="AM53" s="98">
        <f t="shared" si="3"/>
        <v>25922</v>
      </c>
      <c r="AN53" s="90">
        <f t="shared" si="3"/>
        <v>588386957.34000003</v>
      </c>
      <c r="AO53" s="98">
        <f>SUM(AO6:AO51)</f>
        <v>846</v>
      </c>
      <c r="AP53" s="98">
        <f>SUM(AP6:AP51)</f>
        <v>524</v>
      </c>
      <c r="AQ53" s="105">
        <f>AP53/AO53</f>
        <v>0.61938534278959811</v>
      </c>
    </row>
    <row r="54" spans="1:46" ht="15.75" thickTop="1" x14ac:dyDescent="0.25"/>
    <row r="56" spans="1:46" x14ac:dyDescent="0.25">
      <c r="AT56">
        <f>SUM(AT6:AT55)</f>
        <v>846</v>
      </c>
    </row>
  </sheetData>
  <sortState ref="A6:AF51">
    <sortCondition ref="A6"/>
  </sortState>
  <mergeCells count="12">
    <mergeCell ref="AO3:AQ3"/>
    <mergeCell ref="I3:K3"/>
    <mergeCell ref="B3:D3"/>
    <mergeCell ref="F3:H3"/>
    <mergeCell ref="Q3:S3"/>
    <mergeCell ref="T3:V3"/>
    <mergeCell ref="M3:O3"/>
    <mergeCell ref="X3:Z3"/>
    <mergeCell ref="AA3:AC3"/>
    <mergeCell ref="AE3:AG3"/>
    <mergeCell ref="AH3:AJ3"/>
    <mergeCell ref="AL3:AN3"/>
  </mergeCells>
  <pageMargins left="0.7" right="0.7" top="0.75" bottom="0.75"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R146"/>
  <sheetViews>
    <sheetView zoomScaleNormal="100" workbookViewId="0">
      <pane xSplit="1" ySplit="5" topLeftCell="BG48"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5" max="5" width="1.7109375" customWidth="1"/>
    <col min="9" max="9" width="9.140625" customWidth="1"/>
    <col min="10" max="10" width="12.5703125" customWidth="1"/>
    <col min="11" max="11" width="9.140625" customWidth="1"/>
    <col min="12" max="12" width="10.5703125" customWidth="1"/>
    <col min="13" max="15" width="9.140625" customWidth="1"/>
    <col min="16" max="16" width="1.7109375" customWidth="1"/>
    <col min="20" max="20" width="9.140625" customWidth="1"/>
    <col min="21" max="21" width="12.5703125" customWidth="1"/>
    <col min="22" max="22" width="9.140625" customWidth="1"/>
    <col min="23" max="23" width="10.5703125" customWidth="1"/>
    <col min="24" max="24" width="1.7109375" customWidth="1"/>
    <col min="28" max="28" width="9.140625" customWidth="1"/>
    <col min="29" max="29" width="12.5703125" customWidth="1"/>
    <col min="30" max="30" width="9.140625" customWidth="1"/>
    <col min="31" max="31" width="10.5703125" customWidth="1"/>
    <col min="32" max="34" width="9.140625" customWidth="1"/>
    <col min="35" max="35" width="1.7109375" customWidth="1"/>
    <col min="39" max="39" width="10.5703125" customWidth="1"/>
    <col min="40" max="40" width="12.5703125" customWidth="1"/>
    <col min="41" max="41" width="9.140625" customWidth="1"/>
    <col min="42" max="42" width="10.5703125" customWidth="1"/>
    <col min="43" max="45" width="9.140625" customWidth="1"/>
    <col min="46" max="46" width="1.7109375" customWidth="1"/>
    <col min="50" max="50" width="10.5703125" customWidth="1"/>
    <col min="51" max="51" width="12.5703125" customWidth="1"/>
    <col min="52" max="52" width="9.140625" customWidth="1"/>
    <col min="53" max="53" width="10.5703125" customWidth="1"/>
    <col min="54" max="56" width="9.140625" customWidth="1"/>
    <col min="57" max="57" width="1.7109375" customWidth="1"/>
    <col min="61" max="61" width="9.140625" customWidth="1"/>
    <col min="62" max="62" width="12.5703125" customWidth="1"/>
    <col min="63" max="63" width="9.140625" customWidth="1"/>
    <col min="64" max="64" width="10.5703125" customWidth="1"/>
    <col min="65" max="67" width="9.140625" customWidth="1"/>
    <col min="69" max="69" width="23.42578125" customWidth="1"/>
    <col min="70" max="70" width="12" bestFit="1" customWidth="1"/>
  </cols>
  <sheetData>
    <row r="1" spans="1:70"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c r="AJ1" s="29">
        <v>36</v>
      </c>
      <c r="AK1" s="29">
        <v>37</v>
      </c>
      <c r="AL1" s="29">
        <v>38</v>
      </c>
      <c r="AM1" s="29">
        <v>39</v>
      </c>
      <c r="AN1" s="29">
        <v>40</v>
      </c>
      <c r="AO1" s="29">
        <v>41</v>
      </c>
      <c r="AP1" s="29">
        <v>42</v>
      </c>
      <c r="AQ1" s="29">
        <v>43</v>
      </c>
      <c r="AR1" s="29">
        <v>44</v>
      </c>
      <c r="AS1" s="29">
        <v>45</v>
      </c>
      <c r="AT1" s="29">
        <v>46</v>
      </c>
      <c r="AU1" s="29">
        <v>47</v>
      </c>
      <c r="AV1" s="29">
        <v>48</v>
      </c>
      <c r="AW1" s="29">
        <v>49</v>
      </c>
      <c r="AX1" s="29">
        <v>50</v>
      </c>
      <c r="AY1" s="29">
        <v>51</v>
      </c>
      <c r="AZ1" s="29">
        <v>52</v>
      </c>
      <c r="BA1" s="29">
        <v>53</v>
      </c>
      <c r="BB1" s="29">
        <v>54</v>
      </c>
      <c r="BC1" s="29">
        <v>55</v>
      </c>
      <c r="BD1" s="29">
        <v>56</v>
      </c>
      <c r="BE1" s="29">
        <v>57</v>
      </c>
      <c r="BF1" s="29">
        <v>58</v>
      </c>
      <c r="BG1" s="29">
        <v>59</v>
      </c>
      <c r="BH1" s="29">
        <v>60</v>
      </c>
      <c r="BI1" s="29">
        <v>61</v>
      </c>
      <c r="BJ1" s="29">
        <v>62</v>
      </c>
      <c r="BK1" s="29">
        <v>63</v>
      </c>
      <c r="BL1" s="29">
        <v>64</v>
      </c>
      <c r="BM1" s="29">
        <v>65</v>
      </c>
      <c r="BN1" s="29">
        <v>66</v>
      </c>
      <c r="BO1" s="29">
        <v>67</v>
      </c>
    </row>
    <row r="2" spans="1:70" x14ac:dyDescent="0.25">
      <c r="B2" s="72"/>
      <c r="C2" s="72"/>
      <c r="D2" s="72"/>
      <c r="E2" s="38"/>
      <c r="F2" s="72"/>
      <c r="G2" s="72"/>
      <c r="H2" s="72"/>
      <c r="I2" s="72"/>
      <c r="J2" s="72"/>
      <c r="K2" s="72"/>
      <c r="L2" s="72"/>
      <c r="M2" s="72"/>
      <c r="N2" s="72"/>
      <c r="O2" s="72"/>
      <c r="P2" s="38"/>
      <c r="Q2" s="72"/>
      <c r="R2" s="72"/>
      <c r="S2" s="72"/>
      <c r="T2" s="72"/>
      <c r="U2" s="72"/>
      <c r="V2" s="72"/>
      <c r="W2" s="72"/>
      <c r="X2" s="38"/>
      <c r="Y2" s="72"/>
      <c r="Z2" s="72"/>
      <c r="AA2" s="72"/>
      <c r="AB2" s="72"/>
      <c r="AC2" s="72"/>
      <c r="AD2" s="72"/>
      <c r="AE2" s="72"/>
      <c r="AF2" s="72"/>
      <c r="AG2" s="72"/>
      <c r="AH2" s="72"/>
      <c r="AI2" s="38"/>
      <c r="AJ2" s="72"/>
      <c r="AK2" s="72"/>
      <c r="AL2" s="72"/>
      <c r="AM2" s="72"/>
      <c r="AN2" s="72"/>
      <c r="AO2" s="72"/>
      <c r="AP2" s="72"/>
      <c r="AQ2" s="72"/>
      <c r="AR2" s="72"/>
      <c r="AS2" s="72"/>
      <c r="AT2" s="38"/>
      <c r="AU2" s="72"/>
      <c r="AV2" s="72"/>
      <c r="AW2" s="72"/>
      <c r="AX2" s="72"/>
      <c r="AY2" s="72"/>
      <c r="AZ2" s="72"/>
      <c r="BA2" s="72"/>
      <c r="BB2" s="72"/>
      <c r="BC2" s="72"/>
      <c r="BD2" s="72"/>
      <c r="BE2" s="38"/>
      <c r="BF2" s="72"/>
      <c r="BG2" s="72"/>
      <c r="BH2" s="72"/>
      <c r="BI2" s="72"/>
      <c r="BJ2" s="72"/>
      <c r="BK2" s="72"/>
      <c r="BL2" s="72"/>
      <c r="BM2" s="72"/>
      <c r="BN2" s="72"/>
      <c r="BO2" s="72"/>
    </row>
    <row r="3" spans="1:70" x14ac:dyDescent="0.25">
      <c r="B3" s="337" t="s">
        <v>144</v>
      </c>
      <c r="C3" s="337"/>
      <c r="D3" s="337"/>
      <c r="E3" s="73"/>
      <c r="F3" s="337" t="s">
        <v>144</v>
      </c>
      <c r="G3" s="337"/>
      <c r="H3" s="337"/>
      <c r="I3" s="338" t="s">
        <v>146</v>
      </c>
      <c r="J3" s="338"/>
      <c r="K3" s="338"/>
      <c r="L3" s="338"/>
      <c r="M3" s="336" t="s">
        <v>169</v>
      </c>
      <c r="N3" s="336"/>
      <c r="O3" s="336"/>
      <c r="P3" s="73"/>
      <c r="Q3" s="337" t="s">
        <v>144</v>
      </c>
      <c r="R3" s="337"/>
      <c r="S3" s="337"/>
      <c r="T3" s="338" t="s">
        <v>146</v>
      </c>
      <c r="U3" s="338"/>
      <c r="V3" s="338"/>
      <c r="W3" s="338"/>
      <c r="X3" s="73"/>
      <c r="Y3" s="337" t="s">
        <v>144</v>
      </c>
      <c r="Z3" s="337"/>
      <c r="AA3" s="337"/>
      <c r="AB3" s="338" t="s">
        <v>146</v>
      </c>
      <c r="AC3" s="338"/>
      <c r="AD3" s="338"/>
      <c r="AE3" s="338"/>
      <c r="AF3" s="336" t="s">
        <v>169</v>
      </c>
      <c r="AG3" s="336"/>
      <c r="AH3" s="336"/>
      <c r="AI3" s="73"/>
      <c r="AJ3" s="337" t="s">
        <v>144</v>
      </c>
      <c r="AK3" s="337"/>
      <c r="AL3" s="337"/>
      <c r="AM3" s="338" t="s">
        <v>146</v>
      </c>
      <c r="AN3" s="338"/>
      <c r="AO3" s="338"/>
      <c r="AP3" s="338"/>
      <c r="AQ3" s="336" t="s">
        <v>169</v>
      </c>
      <c r="AR3" s="336"/>
      <c r="AS3" s="336"/>
      <c r="AT3" s="73"/>
      <c r="AU3" s="337" t="s">
        <v>144</v>
      </c>
      <c r="AV3" s="337"/>
      <c r="AW3" s="337"/>
      <c r="AX3" s="338" t="s">
        <v>146</v>
      </c>
      <c r="AY3" s="338"/>
      <c r="AZ3" s="338"/>
      <c r="BA3" s="338"/>
      <c r="BB3" s="336" t="s">
        <v>169</v>
      </c>
      <c r="BC3" s="336"/>
      <c r="BD3" s="336"/>
      <c r="BE3" s="73"/>
      <c r="BF3" s="337" t="s">
        <v>144</v>
      </c>
      <c r="BG3" s="337"/>
      <c r="BH3" s="337"/>
      <c r="BI3" s="338" t="s">
        <v>146</v>
      </c>
      <c r="BJ3" s="338"/>
      <c r="BK3" s="338"/>
      <c r="BL3" s="338"/>
      <c r="BM3" s="336" t="s">
        <v>169</v>
      </c>
      <c r="BN3" s="336"/>
      <c r="BO3" s="336"/>
    </row>
    <row r="4" spans="1:70" x14ac:dyDescent="0.25">
      <c r="B4" s="43">
        <v>2014</v>
      </c>
      <c r="C4" s="43">
        <v>2014</v>
      </c>
      <c r="D4" s="43">
        <v>2014</v>
      </c>
      <c r="E4" s="43"/>
      <c r="F4" s="43">
        <v>2015</v>
      </c>
      <c r="G4" s="43">
        <v>2015</v>
      </c>
      <c r="H4" s="43">
        <v>2015</v>
      </c>
      <c r="I4" s="43">
        <v>2015</v>
      </c>
      <c r="J4" s="43">
        <v>2015</v>
      </c>
      <c r="K4" s="43">
        <v>2015</v>
      </c>
      <c r="L4" s="43">
        <v>2015</v>
      </c>
      <c r="M4" s="43">
        <v>2015</v>
      </c>
      <c r="N4" s="43">
        <v>2015</v>
      </c>
      <c r="O4" s="43">
        <v>2015</v>
      </c>
      <c r="P4" s="43"/>
      <c r="Q4" s="43">
        <v>2016</v>
      </c>
      <c r="R4" s="43">
        <v>2016</v>
      </c>
      <c r="S4" s="43">
        <v>2016</v>
      </c>
      <c r="T4" s="43">
        <v>2016</v>
      </c>
      <c r="U4" s="43">
        <v>2016</v>
      </c>
      <c r="V4" s="43">
        <v>2016</v>
      </c>
      <c r="W4" s="43">
        <v>2016</v>
      </c>
      <c r="X4" s="43"/>
      <c r="Y4" s="43">
        <v>2017</v>
      </c>
      <c r="Z4" s="43">
        <v>2017</v>
      </c>
      <c r="AA4" s="43">
        <v>2017</v>
      </c>
      <c r="AB4" s="43">
        <v>2017</v>
      </c>
      <c r="AC4" s="43">
        <v>2017</v>
      </c>
      <c r="AD4" s="43">
        <v>2017</v>
      </c>
      <c r="AE4" s="43">
        <v>2017</v>
      </c>
      <c r="AF4" s="43">
        <v>2017</v>
      </c>
      <c r="AG4" s="43">
        <v>2017</v>
      </c>
      <c r="AH4" s="43">
        <v>2017</v>
      </c>
      <c r="AI4" s="43"/>
      <c r="AJ4" s="43">
        <v>2018</v>
      </c>
      <c r="AK4" s="43">
        <v>2018</v>
      </c>
      <c r="AL4" s="43">
        <v>2018</v>
      </c>
      <c r="AM4" s="43">
        <v>2018</v>
      </c>
      <c r="AN4" s="43">
        <v>2018</v>
      </c>
      <c r="AO4" s="43">
        <v>2018</v>
      </c>
      <c r="AP4" s="43">
        <v>2018</v>
      </c>
      <c r="AQ4" s="43">
        <v>2018</v>
      </c>
      <c r="AR4" s="43">
        <v>2018</v>
      </c>
      <c r="AS4" s="43">
        <v>2018</v>
      </c>
      <c r="AT4" s="43"/>
      <c r="AU4" s="43">
        <v>2019</v>
      </c>
      <c r="AV4" s="43">
        <v>2019</v>
      </c>
      <c r="AW4" s="43">
        <v>2019</v>
      </c>
      <c r="AX4" s="43">
        <v>2019</v>
      </c>
      <c r="AY4" s="43">
        <v>2019</v>
      </c>
      <c r="AZ4" s="43">
        <v>2019</v>
      </c>
      <c r="BA4" s="43">
        <v>2019</v>
      </c>
      <c r="BB4" s="43">
        <v>2019</v>
      </c>
      <c r="BC4" s="43">
        <v>2019</v>
      </c>
      <c r="BD4" s="43">
        <v>2019</v>
      </c>
      <c r="BE4" s="43"/>
      <c r="BF4" s="43">
        <v>2020</v>
      </c>
      <c r="BG4" s="43">
        <v>2020</v>
      </c>
      <c r="BH4" s="43">
        <v>2020</v>
      </c>
      <c r="BI4" s="43">
        <v>2020</v>
      </c>
      <c r="BJ4" s="43">
        <v>2020</v>
      </c>
      <c r="BK4" s="43">
        <v>2020</v>
      </c>
      <c r="BL4" s="43">
        <v>2020</v>
      </c>
      <c r="BM4" s="43">
        <v>2020</v>
      </c>
      <c r="BN4" s="43">
        <v>2020</v>
      </c>
      <c r="BO4" s="43">
        <v>2020</v>
      </c>
    </row>
    <row r="5" spans="1:70" ht="45" x14ac:dyDescent="0.25">
      <c r="A5" s="40" t="s">
        <v>44</v>
      </c>
      <c r="B5" s="41" t="s">
        <v>142</v>
      </c>
      <c r="C5" s="41" t="s">
        <v>145</v>
      </c>
      <c r="D5" s="41" t="s">
        <v>143</v>
      </c>
      <c r="E5" s="41"/>
      <c r="F5" s="41" t="s">
        <v>142</v>
      </c>
      <c r="G5" s="41" t="s">
        <v>145</v>
      </c>
      <c r="H5" s="41" t="s">
        <v>143</v>
      </c>
      <c r="I5" s="42" t="s">
        <v>193</v>
      </c>
      <c r="J5" s="42" t="s">
        <v>147</v>
      </c>
      <c r="K5" s="42" t="s">
        <v>148</v>
      </c>
      <c r="L5" s="42" t="s">
        <v>149</v>
      </c>
      <c r="M5" s="41" t="s">
        <v>170</v>
      </c>
      <c r="N5" s="41" t="s">
        <v>171</v>
      </c>
      <c r="O5" s="41" t="s">
        <v>172</v>
      </c>
      <c r="P5" s="41"/>
      <c r="Q5" s="41" t="s">
        <v>142</v>
      </c>
      <c r="R5" s="41" t="s">
        <v>145</v>
      </c>
      <c r="S5" s="41" t="s">
        <v>143</v>
      </c>
      <c r="T5" s="42" t="s">
        <v>193</v>
      </c>
      <c r="U5" s="42" t="s">
        <v>147</v>
      </c>
      <c r="V5" s="42" t="s">
        <v>148</v>
      </c>
      <c r="W5" s="42" t="s">
        <v>149</v>
      </c>
      <c r="X5" s="41"/>
      <c r="Y5" s="41" t="s">
        <v>142</v>
      </c>
      <c r="Z5" s="41" t="s">
        <v>145</v>
      </c>
      <c r="AA5" s="41" t="s">
        <v>143</v>
      </c>
      <c r="AB5" s="42" t="s">
        <v>193</v>
      </c>
      <c r="AC5" s="42" t="s">
        <v>147</v>
      </c>
      <c r="AD5" s="42" t="s">
        <v>148</v>
      </c>
      <c r="AE5" s="42" t="s">
        <v>149</v>
      </c>
      <c r="AF5" s="41" t="s">
        <v>170</v>
      </c>
      <c r="AG5" s="41" t="s">
        <v>171</v>
      </c>
      <c r="AH5" s="41" t="s">
        <v>172</v>
      </c>
      <c r="AI5" s="41"/>
      <c r="AJ5" s="41" t="s">
        <v>142</v>
      </c>
      <c r="AK5" s="41" t="s">
        <v>145</v>
      </c>
      <c r="AL5" s="41" t="s">
        <v>143</v>
      </c>
      <c r="AM5" s="42" t="s">
        <v>193</v>
      </c>
      <c r="AN5" s="42" t="s">
        <v>147</v>
      </c>
      <c r="AO5" s="42" t="s">
        <v>148</v>
      </c>
      <c r="AP5" s="42" t="s">
        <v>149</v>
      </c>
      <c r="AQ5" s="41" t="s">
        <v>170</v>
      </c>
      <c r="AR5" s="41" t="s">
        <v>171</v>
      </c>
      <c r="AS5" s="41" t="s">
        <v>172</v>
      </c>
      <c r="AT5" s="41"/>
      <c r="AU5" s="41" t="s">
        <v>142</v>
      </c>
      <c r="AV5" s="41" t="s">
        <v>145</v>
      </c>
      <c r="AW5" s="41" t="s">
        <v>143</v>
      </c>
      <c r="AX5" s="42" t="s">
        <v>193</v>
      </c>
      <c r="AY5" s="42" t="s">
        <v>147</v>
      </c>
      <c r="AZ5" s="42" t="s">
        <v>148</v>
      </c>
      <c r="BA5" s="42" t="s">
        <v>149</v>
      </c>
      <c r="BB5" s="41" t="s">
        <v>170</v>
      </c>
      <c r="BC5" s="41" t="s">
        <v>171</v>
      </c>
      <c r="BD5" s="41" t="s">
        <v>172</v>
      </c>
      <c r="BE5" s="41"/>
      <c r="BF5" s="41" t="s">
        <v>142</v>
      </c>
      <c r="BG5" s="41" t="s">
        <v>145</v>
      </c>
      <c r="BH5" s="41" t="s">
        <v>143</v>
      </c>
      <c r="BI5" s="42" t="s">
        <v>193</v>
      </c>
      <c r="BJ5" s="42" t="s">
        <v>147</v>
      </c>
      <c r="BK5" s="42" t="s">
        <v>148</v>
      </c>
      <c r="BL5" s="42" t="s">
        <v>149</v>
      </c>
      <c r="BM5" s="41" t="s">
        <v>170</v>
      </c>
      <c r="BN5" s="41" t="s">
        <v>171</v>
      </c>
      <c r="BO5" s="41" t="s">
        <v>172</v>
      </c>
      <c r="BQ5" s="42" t="s">
        <v>44</v>
      </c>
      <c r="BR5" s="320"/>
    </row>
    <row r="6" spans="1:70" x14ac:dyDescent="0.25">
      <c r="A6" s="16" t="s">
        <v>0</v>
      </c>
      <c r="B6" s="33">
        <v>2</v>
      </c>
      <c r="C6" s="33">
        <v>2</v>
      </c>
      <c r="D6" s="26">
        <v>1</v>
      </c>
      <c r="E6" s="26"/>
      <c r="F6" s="33">
        <v>1</v>
      </c>
      <c r="G6" s="33">
        <v>1</v>
      </c>
      <c r="H6" s="26">
        <v>1</v>
      </c>
      <c r="I6" s="44">
        <v>66864</v>
      </c>
      <c r="J6" s="35">
        <v>521132.94</v>
      </c>
      <c r="K6" s="44">
        <v>147</v>
      </c>
      <c r="L6" s="35">
        <v>2870.9700000000003</v>
      </c>
      <c r="M6" s="33">
        <v>1</v>
      </c>
      <c r="N6" s="33">
        <v>0</v>
      </c>
      <c r="O6" s="26">
        <v>0</v>
      </c>
      <c r="P6" s="26"/>
      <c r="Q6" s="33">
        <v>3</v>
      </c>
      <c r="R6" s="33">
        <v>3</v>
      </c>
      <c r="S6" s="26">
        <v>1</v>
      </c>
      <c r="T6" s="44">
        <v>63188</v>
      </c>
      <c r="U6" s="35">
        <v>584166.24</v>
      </c>
      <c r="V6" s="44">
        <v>202</v>
      </c>
      <c r="W6" s="35">
        <v>4389.4799999999996</v>
      </c>
      <c r="X6" s="26"/>
      <c r="Y6" s="75">
        <v>3</v>
      </c>
      <c r="Z6" s="75">
        <v>3</v>
      </c>
      <c r="AA6" s="26">
        <v>1</v>
      </c>
      <c r="AB6" s="101">
        <v>67980</v>
      </c>
      <c r="AC6" s="35">
        <v>705127.44000000006</v>
      </c>
      <c r="AD6" s="101">
        <v>215</v>
      </c>
      <c r="AE6" s="35">
        <v>6529.94</v>
      </c>
      <c r="AF6" s="33">
        <v>12</v>
      </c>
      <c r="AG6" s="33">
        <v>5</v>
      </c>
      <c r="AH6" s="26">
        <v>0.41666666666666669</v>
      </c>
      <c r="AI6" s="26"/>
      <c r="AJ6" s="75">
        <v>3</v>
      </c>
      <c r="AK6" s="75">
        <v>3</v>
      </c>
      <c r="AL6" s="26">
        <v>1</v>
      </c>
      <c r="AM6" s="35">
        <v>65082</v>
      </c>
      <c r="AN6" s="35">
        <v>761368.48</v>
      </c>
      <c r="AO6" s="101">
        <v>259</v>
      </c>
      <c r="AP6" s="35">
        <v>6690.92</v>
      </c>
      <c r="AQ6" s="33">
        <v>11</v>
      </c>
      <c r="AR6" s="33">
        <v>8</v>
      </c>
      <c r="AS6" s="26">
        <v>0.72727272727272729</v>
      </c>
      <c r="AT6" s="26"/>
      <c r="AU6" s="75">
        <v>3</v>
      </c>
      <c r="AV6" s="75">
        <v>3</v>
      </c>
      <c r="AW6" s="26">
        <v>1</v>
      </c>
      <c r="AX6" s="35">
        <v>60309</v>
      </c>
      <c r="AY6" s="35">
        <v>645234.98</v>
      </c>
      <c r="AZ6" s="101">
        <v>263</v>
      </c>
      <c r="BA6" s="35">
        <v>4997.46</v>
      </c>
      <c r="BB6" s="33">
        <v>12</v>
      </c>
      <c r="BC6" s="33">
        <v>8</v>
      </c>
      <c r="BD6" s="26">
        <v>0.66666666666666663</v>
      </c>
      <c r="BE6" s="26"/>
      <c r="BF6" s="99">
        <v>4</v>
      </c>
      <c r="BG6" s="99">
        <v>4</v>
      </c>
      <c r="BH6" s="84">
        <f>BG6/BF6</f>
        <v>1</v>
      </c>
      <c r="BI6" s="100">
        <v>38448</v>
      </c>
      <c r="BJ6" s="91">
        <v>331740.13</v>
      </c>
      <c r="BK6" s="100">
        <v>129</v>
      </c>
      <c r="BL6" s="91">
        <v>2908</v>
      </c>
      <c r="BM6" s="99">
        <v>7</v>
      </c>
      <c r="BN6" s="99">
        <v>5</v>
      </c>
      <c r="BO6" s="84">
        <f>BN6/BM6</f>
        <v>0.7142857142857143</v>
      </c>
      <c r="BP6" s="159" t="str">
        <f t="shared" ref="BP6:BP51" si="0">IF(BQ6=A6,"OK","No")</f>
        <v>No</v>
      </c>
      <c r="BQ6" s="226" t="s">
        <v>355</v>
      </c>
      <c r="BR6" s="227">
        <v>5</v>
      </c>
    </row>
    <row r="7" spans="1:70" x14ac:dyDescent="0.25">
      <c r="A7" s="16" t="s">
        <v>25</v>
      </c>
      <c r="B7" s="33">
        <v>12</v>
      </c>
      <c r="C7" s="33">
        <v>9</v>
      </c>
      <c r="D7" s="26">
        <v>0.75</v>
      </c>
      <c r="E7" s="26"/>
      <c r="F7" s="33">
        <v>12</v>
      </c>
      <c r="G7" s="33">
        <v>11</v>
      </c>
      <c r="H7" s="26">
        <v>0.91666666666666663</v>
      </c>
      <c r="I7" s="44">
        <v>114719</v>
      </c>
      <c r="J7" s="35">
        <v>44678133.370000005</v>
      </c>
      <c r="K7" s="44">
        <v>1364</v>
      </c>
      <c r="L7" s="35">
        <v>292513.06999999995</v>
      </c>
      <c r="M7" s="33">
        <v>29</v>
      </c>
      <c r="N7" s="33">
        <v>18</v>
      </c>
      <c r="O7" s="26">
        <v>0.62068965517241381</v>
      </c>
      <c r="P7" s="26"/>
      <c r="Q7" s="33">
        <v>15</v>
      </c>
      <c r="R7" s="33">
        <v>10</v>
      </c>
      <c r="S7" s="26">
        <v>0.66666666666666663</v>
      </c>
      <c r="T7" s="44">
        <v>138553</v>
      </c>
      <c r="U7" s="35">
        <v>60720137.129999988</v>
      </c>
      <c r="V7" s="44">
        <v>2169</v>
      </c>
      <c r="W7" s="35">
        <v>429459.24</v>
      </c>
      <c r="X7" s="26"/>
      <c r="Y7" s="75">
        <v>13</v>
      </c>
      <c r="Z7" s="75">
        <v>6</v>
      </c>
      <c r="AA7" s="26">
        <v>0.46153846153846156</v>
      </c>
      <c r="AB7" s="101">
        <v>138577</v>
      </c>
      <c r="AC7" s="35">
        <v>52399583.050000004</v>
      </c>
      <c r="AD7" s="101">
        <v>1740</v>
      </c>
      <c r="AE7" s="35">
        <v>488906.89999999997</v>
      </c>
      <c r="AF7" s="33">
        <v>48</v>
      </c>
      <c r="AG7" s="33">
        <v>32</v>
      </c>
      <c r="AH7" s="26">
        <v>0.66666666666666663</v>
      </c>
      <c r="AI7" s="26"/>
      <c r="AJ7" s="75">
        <v>12</v>
      </c>
      <c r="AK7" s="75">
        <v>9</v>
      </c>
      <c r="AL7" s="26">
        <v>0.75</v>
      </c>
      <c r="AM7" s="35">
        <v>150172</v>
      </c>
      <c r="AN7" s="35">
        <v>61315806.43</v>
      </c>
      <c r="AO7" s="101">
        <v>2692</v>
      </c>
      <c r="AP7" s="35">
        <v>596584.03</v>
      </c>
      <c r="AQ7" s="33">
        <v>78</v>
      </c>
      <c r="AR7" s="33">
        <v>59</v>
      </c>
      <c r="AS7" s="26">
        <v>0.75641025641025639</v>
      </c>
      <c r="AT7" s="26"/>
      <c r="AU7" s="75">
        <v>13</v>
      </c>
      <c r="AV7" s="75">
        <v>11</v>
      </c>
      <c r="AW7" s="26">
        <v>0.84615384615384615</v>
      </c>
      <c r="AX7" s="35">
        <v>144840</v>
      </c>
      <c r="AY7" s="35">
        <v>57989558.890000008</v>
      </c>
      <c r="AZ7" s="101">
        <v>2849</v>
      </c>
      <c r="BA7" s="35">
        <v>566170.49</v>
      </c>
      <c r="BB7" s="33">
        <v>63</v>
      </c>
      <c r="BC7" s="33">
        <v>41</v>
      </c>
      <c r="BD7" s="26">
        <v>0.65079365079365081</v>
      </c>
      <c r="BE7" s="26"/>
      <c r="BF7" s="99">
        <v>12</v>
      </c>
      <c r="BG7" s="99">
        <v>8</v>
      </c>
      <c r="BH7" s="84">
        <f>BG7/BF7</f>
        <v>0.66666666666666663</v>
      </c>
      <c r="BI7" s="100">
        <v>131991</v>
      </c>
      <c r="BJ7" s="91">
        <v>55698851.589999996</v>
      </c>
      <c r="BK7" s="100">
        <v>6211</v>
      </c>
      <c r="BL7" s="91">
        <v>1198157.3</v>
      </c>
      <c r="BM7" s="99">
        <v>39</v>
      </c>
      <c r="BN7" s="99">
        <v>28</v>
      </c>
      <c r="BO7" s="84">
        <f>BN7/BM7</f>
        <v>0.71794871794871795</v>
      </c>
      <c r="BP7" s="159" t="str">
        <f t="shared" si="0"/>
        <v>OK</v>
      </c>
      <c r="BQ7" s="226" t="s">
        <v>25</v>
      </c>
      <c r="BR7" s="227">
        <v>28</v>
      </c>
    </row>
    <row r="8" spans="1:70" x14ac:dyDescent="0.25">
      <c r="A8" s="16" t="s">
        <v>384</v>
      </c>
      <c r="B8" s="33"/>
      <c r="C8" s="33"/>
      <c r="D8" s="26"/>
      <c r="E8" s="26"/>
      <c r="F8" s="33"/>
      <c r="G8" s="33"/>
      <c r="H8" s="26"/>
      <c r="I8" s="44"/>
      <c r="J8" s="35"/>
      <c r="K8" s="44"/>
      <c r="L8" s="35"/>
      <c r="M8" s="33"/>
      <c r="N8" s="33"/>
      <c r="O8" s="26"/>
      <c r="P8" s="26"/>
      <c r="Q8" s="33"/>
      <c r="R8" s="33"/>
      <c r="S8" s="26"/>
      <c r="T8" s="44"/>
      <c r="U8" s="35"/>
      <c r="V8" s="44"/>
      <c r="W8" s="35"/>
      <c r="X8" s="26"/>
      <c r="Y8" s="75"/>
      <c r="Z8" s="75"/>
      <c r="AA8" s="26"/>
      <c r="AB8" s="101"/>
      <c r="AC8" s="35"/>
      <c r="AD8" s="101"/>
      <c r="AE8" s="35"/>
      <c r="AF8" s="33"/>
      <c r="AG8" s="33"/>
      <c r="AH8" s="26"/>
      <c r="AI8" s="26"/>
      <c r="AJ8" s="75"/>
      <c r="AK8" s="75"/>
      <c r="AL8" s="26"/>
      <c r="AM8" s="35"/>
      <c r="AN8" s="35"/>
      <c r="AO8" s="101"/>
      <c r="AP8" s="35"/>
      <c r="AQ8" s="33"/>
      <c r="AR8" s="33"/>
      <c r="AS8" s="26"/>
      <c r="AT8" s="26"/>
      <c r="AU8" s="75" t="s">
        <v>315</v>
      </c>
      <c r="AV8" s="75" t="s">
        <v>315</v>
      </c>
      <c r="AW8" s="26"/>
      <c r="AX8" s="35"/>
      <c r="AY8" s="35"/>
      <c r="AZ8" s="101"/>
      <c r="BA8" s="35"/>
      <c r="BB8" s="33"/>
      <c r="BC8" s="33"/>
      <c r="BD8" s="26"/>
      <c r="BE8" s="26"/>
      <c r="BF8" s="99" t="s">
        <v>315</v>
      </c>
      <c r="BG8" s="99" t="s">
        <v>315</v>
      </c>
      <c r="BH8" s="84"/>
      <c r="BI8" s="100"/>
      <c r="BJ8" s="91"/>
      <c r="BK8" s="100"/>
      <c r="BL8" s="91"/>
      <c r="BM8" s="99"/>
      <c r="BN8" s="99"/>
      <c r="BO8" s="84"/>
      <c r="BP8" s="159" t="str">
        <f t="shared" si="0"/>
        <v>No</v>
      </c>
      <c r="BQ8" s="226"/>
      <c r="BR8" s="227"/>
    </row>
    <row r="9" spans="1:70" x14ac:dyDescent="0.25">
      <c r="A9" s="16" t="s">
        <v>1</v>
      </c>
      <c r="B9" s="33">
        <v>9</v>
      </c>
      <c r="C9" s="33">
        <v>9</v>
      </c>
      <c r="D9" s="26">
        <v>1</v>
      </c>
      <c r="E9" s="26"/>
      <c r="F9" s="33">
        <v>8</v>
      </c>
      <c r="G9" s="33">
        <v>8</v>
      </c>
      <c r="H9" s="26">
        <v>1</v>
      </c>
      <c r="I9" s="44">
        <v>1211</v>
      </c>
      <c r="J9" s="35">
        <v>1598954.81</v>
      </c>
      <c r="K9" s="44">
        <v>51</v>
      </c>
      <c r="L9" s="35">
        <v>58232.5</v>
      </c>
      <c r="M9" s="33">
        <v>12</v>
      </c>
      <c r="N9" s="33">
        <v>5</v>
      </c>
      <c r="O9" s="26">
        <v>0.41666666666666669</v>
      </c>
      <c r="P9" s="26"/>
      <c r="Q9" s="33">
        <v>11</v>
      </c>
      <c r="R9" s="33">
        <v>11</v>
      </c>
      <c r="S9" s="26">
        <v>1</v>
      </c>
      <c r="T9" s="44">
        <v>1641</v>
      </c>
      <c r="U9" s="35">
        <v>1991147.31</v>
      </c>
      <c r="V9" s="44">
        <v>74</v>
      </c>
      <c r="W9" s="35">
        <v>94554.05</v>
      </c>
      <c r="X9" s="26"/>
      <c r="Y9" s="75">
        <v>9</v>
      </c>
      <c r="Z9" s="75">
        <v>8</v>
      </c>
      <c r="AA9" s="26">
        <v>0.88888888888888884</v>
      </c>
      <c r="AB9" s="101">
        <v>1498</v>
      </c>
      <c r="AC9" s="35">
        <v>2344609.58</v>
      </c>
      <c r="AD9" s="101">
        <v>73</v>
      </c>
      <c r="AE9" s="35">
        <v>94469.17</v>
      </c>
      <c r="AF9" s="33">
        <v>13</v>
      </c>
      <c r="AG9" s="33">
        <v>7</v>
      </c>
      <c r="AH9" s="26">
        <v>0.53846153846153844</v>
      </c>
      <c r="AI9" s="26"/>
      <c r="AJ9" s="75">
        <v>9</v>
      </c>
      <c r="AK9" s="75">
        <v>9</v>
      </c>
      <c r="AL9" s="26">
        <v>1</v>
      </c>
      <c r="AM9" s="35">
        <v>1643</v>
      </c>
      <c r="AN9" s="35">
        <v>2658496.75</v>
      </c>
      <c r="AO9" s="101">
        <v>137</v>
      </c>
      <c r="AP9" s="35">
        <v>132881.45000000001</v>
      </c>
      <c r="AQ9" s="33">
        <v>14</v>
      </c>
      <c r="AR9" s="33">
        <v>9</v>
      </c>
      <c r="AS9" s="26">
        <v>0.6428571428571429</v>
      </c>
      <c r="AT9" s="26"/>
      <c r="AU9" s="75">
        <v>11</v>
      </c>
      <c r="AV9" s="75">
        <v>8</v>
      </c>
      <c r="AW9" s="26">
        <v>0.72727272727272729</v>
      </c>
      <c r="AX9" s="35">
        <v>1915</v>
      </c>
      <c r="AY9" s="35">
        <v>2602427.7199999997</v>
      </c>
      <c r="AZ9" s="101">
        <v>163</v>
      </c>
      <c r="BA9" s="35">
        <v>140343.5</v>
      </c>
      <c r="BB9" s="33">
        <v>16</v>
      </c>
      <c r="BC9" s="33">
        <v>13</v>
      </c>
      <c r="BD9" s="26">
        <v>0.8125</v>
      </c>
      <c r="BE9" s="26"/>
      <c r="BF9" s="99">
        <v>10</v>
      </c>
      <c r="BG9" s="99">
        <v>8</v>
      </c>
      <c r="BH9" s="84">
        <f t="shared" ref="BH9:BH16" si="1">BG9/BF9</f>
        <v>0.8</v>
      </c>
      <c r="BI9" s="100">
        <v>1940</v>
      </c>
      <c r="BJ9" s="91">
        <v>1990501.6099999999</v>
      </c>
      <c r="BK9" s="100">
        <v>322</v>
      </c>
      <c r="BL9" s="91">
        <v>194516.8</v>
      </c>
      <c r="BM9" s="99">
        <v>13</v>
      </c>
      <c r="BN9" s="99">
        <v>11</v>
      </c>
      <c r="BO9" s="84">
        <f t="shared" ref="BO9:BO16" si="2">BN9/BM9</f>
        <v>0.84615384615384615</v>
      </c>
      <c r="BP9" s="159" t="str">
        <f t="shared" si="0"/>
        <v>OK</v>
      </c>
      <c r="BQ9" s="226" t="s">
        <v>1</v>
      </c>
      <c r="BR9" s="227">
        <v>11</v>
      </c>
    </row>
    <row r="10" spans="1:70" x14ac:dyDescent="0.25">
      <c r="A10" s="16" t="s">
        <v>2</v>
      </c>
      <c r="B10" s="33">
        <v>20</v>
      </c>
      <c r="C10" s="33">
        <v>18</v>
      </c>
      <c r="D10" s="26">
        <v>0.9</v>
      </c>
      <c r="E10" s="26"/>
      <c r="F10" s="33">
        <v>28</v>
      </c>
      <c r="G10" s="33">
        <v>22</v>
      </c>
      <c r="H10" s="26">
        <v>0.7857142857142857</v>
      </c>
      <c r="I10" s="44">
        <v>10222</v>
      </c>
      <c r="J10" s="35">
        <v>2483003.77</v>
      </c>
      <c r="K10" s="44">
        <v>142</v>
      </c>
      <c r="L10" s="35">
        <v>24023.62</v>
      </c>
      <c r="M10" s="33">
        <v>71</v>
      </c>
      <c r="N10" s="33">
        <v>31</v>
      </c>
      <c r="O10" s="26">
        <v>0.43661971830985913</v>
      </c>
      <c r="P10" s="26"/>
      <c r="Q10" s="33">
        <v>32</v>
      </c>
      <c r="R10" s="33">
        <v>27</v>
      </c>
      <c r="S10" s="26">
        <v>0.84375</v>
      </c>
      <c r="T10" s="44">
        <v>10024</v>
      </c>
      <c r="U10" s="35">
        <v>2208363.7500000005</v>
      </c>
      <c r="V10" s="44">
        <v>252</v>
      </c>
      <c r="W10" s="35">
        <v>46022.250000000007</v>
      </c>
      <c r="X10" s="26"/>
      <c r="Y10" s="75">
        <v>25</v>
      </c>
      <c r="Z10" s="75">
        <v>24</v>
      </c>
      <c r="AA10" s="26">
        <v>0.96</v>
      </c>
      <c r="AB10" s="101">
        <v>10038</v>
      </c>
      <c r="AC10" s="35">
        <v>2309729.0499999998</v>
      </c>
      <c r="AD10" s="101">
        <v>90</v>
      </c>
      <c r="AE10" s="35">
        <v>18294.059999999998</v>
      </c>
      <c r="AF10" s="33">
        <v>62</v>
      </c>
      <c r="AG10" s="33">
        <v>29</v>
      </c>
      <c r="AH10" s="26">
        <v>0.46774193548387094</v>
      </c>
      <c r="AI10" s="26"/>
      <c r="AJ10" s="75">
        <v>26</v>
      </c>
      <c r="AK10" s="75">
        <v>23</v>
      </c>
      <c r="AL10" s="26">
        <v>0.88461538461538458</v>
      </c>
      <c r="AM10" s="35">
        <v>7362</v>
      </c>
      <c r="AN10" s="35">
        <v>2098341.7599999998</v>
      </c>
      <c r="AO10" s="101">
        <v>104</v>
      </c>
      <c r="AP10" s="35">
        <v>26536.71</v>
      </c>
      <c r="AQ10" s="33">
        <v>50</v>
      </c>
      <c r="AR10" s="33">
        <v>27</v>
      </c>
      <c r="AS10" s="26">
        <v>0.54</v>
      </c>
      <c r="AT10" s="26"/>
      <c r="AU10" s="75">
        <v>26</v>
      </c>
      <c r="AV10" s="75">
        <v>22</v>
      </c>
      <c r="AW10" s="26">
        <v>0.84615384615384615</v>
      </c>
      <c r="AX10" s="35">
        <v>9646</v>
      </c>
      <c r="AY10" s="35">
        <v>2112395.6100000003</v>
      </c>
      <c r="AZ10" s="101">
        <v>155</v>
      </c>
      <c r="BA10" s="35">
        <v>41336.320000000007</v>
      </c>
      <c r="BB10" s="33">
        <v>57</v>
      </c>
      <c r="BC10" s="33">
        <v>39</v>
      </c>
      <c r="BD10" s="26">
        <v>0.68421052631578949</v>
      </c>
      <c r="BE10" s="26"/>
      <c r="BF10" s="99">
        <v>25</v>
      </c>
      <c r="BG10" s="99">
        <v>19</v>
      </c>
      <c r="BH10" s="84">
        <f t="shared" si="1"/>
        <v>0.76</v>
      </c>
      <c r="BI10" s="100">
        <v>13344</v>
      </c>
      <c r="BJ10" s="91">
        <v>1819381.6</v>
      </c>
      <c r="BK10" s="100">
        <v>1234</v>
      </c>
      <c r="BL10" s="91">
        <v>617837.54999999993</v>
      </c>
      <c r="BM10" s="99">
        <v>64</v>
      </c>
      <c r="BN10" s="99">
        <v>53</v>
      </c>
      <c r="BO10" s="84">
        <f t="shared" si="2"/>
        <v>0.828125</v>
      </c>
      <c r="BP10" s="159" t="str">
        <f t="shared" si="0"/>
        <v>OK</v>
      </c>
      <c r="BQ10" s="226" t="s">
        <v>2</v>
      </c>
      <c r="BR10" s="227">
        <v>53</v>
      </c>
    </row>
    <row r="11" spans="1:70" x14ac:dyDescent="0.25">
      <c r="A11" s="16" t="s">
        <v>3</v>
      </c>
      <c r="B11" s="33">
        <v>1</v>
      </c>
      <c r="C11" s="33">
        <v>1</v>
      </c>
      <c r="D11" s="26">
        <v>1</v>
      </c>
      <c r="E11" s="26"/>
      <c r="F11" s="33">
        <v>1</v>
      </c>
      <c r="G11" s="33">
        <v>1</v>
      </c>
      <c r="H11" s="26">
        <v>1</v>
      </c>
      <c r="I11" s="44">
        <v>48</v>
      </c>
      <c r="J11" s="35">
        <v>3424</v>
      </c>
      <c r="K11" s="44">
        <v>0</v>
      </c>
      <c r="L11" s="35">
        <v>0</v>
      </c>
      <c r="M11" s="33">
        <v>4</v>
      </c>
      <c r="N11" s="33">
        <v>1</v>
      </c>
      <c r="O11" s="26">
        <v>0.25</v>
      </c>
      <c r="P11" s="26"/>
      <c r="Q11" s="33">
        <v>1</v>
      </c>
      <c r="R11" s="33">
        <v>1</v>
      </c>
      <c r="S11" s="26">
        <v>1</v>
      </c>
      <c r="T11" s="44">
        <v>23</v>
      </c>
      <c r="U11" s="35">
        <v>1010</v>
      </c>
      <c r="V11" s="44">
        <v>0</v>
      </c>
      <c r="W11" s="35">
        <v>0</v>
      </c>
      <c r="X11" s="26"/>
      <c r="Y11" s="75">
        <v>1</v>
      </c>
      <c r="Z11" s="75">
        <v>1</v>
      </c>
      <c r="AA11" s="26">
        <v>1</v>
      </c>
      <c r="AB11" s="101">
        <v>2</v>
      </c>
      <c r="AC11" s="35">
        <v>1200</v>
      </c>
      <c r="AD11" s="101">
        <v>0</v>
      </c>
      <c r="AE11" s="35">
        <v>0</v>
      </c>
      <c r="AF11" s="33">
        <v>4</v>
      </c>
      <c r="AG11" s="33">
        <v>4</v>
      </c>
      <c r="AH11" s="26">
        <v>1</v>
      </c>
      <c r="AI11" s="26"/>
      <c r="AJ11" s="75">
        <v>1</v>
      </c>
      <c r="AK11" s="75">
        <v>1</v>
      </c>
      <c r="AL11" s="26">
        <v>1</v>
      </c>
      <c r="AM11" s="35"/>
      <c r="AN11" s="35"/>
      <c r="AO11" s="101"/>
      <c r="AP11" s="35"/>
      <c r="AQ11" s="33">
        <v>4</v>
      </c>
      <c r="AR11" s="33">
        <v>4</v>
      </c>
      <c r="AS11" s="26">
        <v>1</v>
      </c>
      <c r="AT11" s="26"/>
      <c r="AU11" s="75">
        <v>1</v>
      </c>
      <c r="AV11" s="75">
        <v>1</v>
      </c>
      <c r="AW11" s="26">
        <v>1</v>
      </c>
      <c r="AX11" s="35"/>
      <c r="AY11" s="35"/>
      <c r="AZ11" s="101"/>
      <c r="BA11" s="35"/>
      <c r="BB11" s="33">
        <v>4</v>
      </c>
      <c r="BC11" s="33">
        <v>4</v>
      </c>
      <c r="BD11" s="26">
        <v>1</v>
      </c>
      <c r="BE11" s="26"/>
      <c r="BF11" s="99">
        <v>1</v>
      </c>
      <c r="BG11" s="99">
        <v>1</v>
      </c>
      <c r="BH11" s="84">
        <f t="shared" si="1"/>
        <v>1</v>
      </c>
      <c r="BI11" s="100"/>
      <c r="BJ11" s="91"/>
      <c r="BK11" s="100"/>
      <c r="BL11" s="91"/>
      <c r="BM11" s="99">
        <v>3</v>
      </c>
      <c r="BN11" s="99">
        <v>3</v>
      </c>
      <c r="BO11" s="84">
        <f t="shared" si="2"/>
        <v>1</v>
      </c>
      <c r="BP11" s="159" t="str">
        <f t="shared" si="0"/>
        <v>OK</v>
      </c>
      <c r="BQ11" s="226" t="s">
        <v>3</v>
      </c>
      <c r="BR11" s="227">
        <v>3</v>
      </c>
    </row>
    <row r="12" spans="1:70" x14ac:dyDescent="0.25">
      <c r="A12" s="16" t="s">
        <v>32</v>
      </c>
      <c r="B12" s="33"/>
      <c r="C12" s="33"/>
      <c r="D12" s="26"/>
      <c r="E12" s="26"/>
      <c r="F12" s="33"/>
      <c r="G12" s="33"/>
      <c r="H12" s="26"/>
      <c r="I12" s="44"/>
      <c r="J12" s="35"/>
      <c r="K12" s="44"/>
      <c r="L12" s="35"/>
      <c r="M12" s="33"/>
      <c r="N12" s="33"/>
      <c r="O12" s="26"/>
      <c r="P12" s="26"/>
      <c r="Q12" s="33"/>
      <c r="R12" s="33"/>
      <c r="S12" s="26"/>
      <c r="T12" s="44"/>
      <c r="U12" s="35"/>
      <c r="V12" s="44"/>
      <c r="W12" s="35"/>
      <c r="X12" s="26"/>
      <c r="Y12" s="75"/>
      <c r="Z12" s="75"/>
      <c r="AA12" s="26"/>
      <c r="AB12" s="101"/>
      <c r="AC12" s="35"/>
      <c r="AD12" s="101"/>
      <c r="AE12" s="35"/>
      <c r="AF12" s="33"/>
      <c r="AG12" s="33"/>
      <c r="AH12" s="26"/>
      <c r="AI12" s="26"/>
      <c r="AJ12" s="75"/>
      <c r="AK12" s="75"/>
      <c r="AL12" s="26"/>
      <c r="AM12" s="35"/>
      <c r="AN12" s="35"/>
      <c r="AO12" s="101"/>
      <c r="AP12" s="35"/>
      <c r="AQ12" s="33"/>
      <c r="AR12" s="33"/>
      <c r="AS12" s="26"/>
      <c r="AT12" s="26"/>
      <c r="AU12" s="75">
        <v>1</v>
      </c>
      <c r="AV12" s="75">
        <v>1</v>
      </c>
      <c r="AW12" s="26">
        <v>1</v>
      </c>
      <c r="AX12" s="35">
        <v>46</v>
      </c>
      <c r="AY12" s="35">
        <v>13324.35</v>
      </c>
      <c r="AZ12" s="101">
        <v>2</v>
      </c>
      <c r="BA12" s="35">
        <v>614.97</v>
      </c>
      <c r="BB12" s="33">
        <v>2</v>
      </c>
      <c r="BC12" s="33">
        <v>2</v>
      </c>
      <c r="BD12" s="26">
        <v>1</v>
      </c>
      <c r="BE12" s="26"/>
      <c r="BF12" s="99">
        <v>1</v>
      </c>
      <c r="BG12" s="99">
        <v>1</v>
      </c>
      <c r="BH12" s="84">
        <f t="shared" si="1"/>
        <v>1</v>
      </c>
      <c r="BI12" s="100"/>
      <c r="BJ12" s="91"/>
      <c r="BK12" s="100"/>
      <c r="BL12" s="91"/>
      <c r="BM12" s="99">
        <v>2</v>
      </c>
      <c r="BN12" s="99">
        <v>2</v>
      </c>
      <c r="BO12" s="84">
        <f t="shared" si="2"/>
        <v>1</v>
      </c>
      <c r="BP12" s="159" t="str">
        <f t="shared" si="0"/>
        <v>OK</v>
      </c>
      <c r="BQ12" s="226" t="s">
        <v>32</v>
      </c>
      <c r="BR12" s="227">
        <v>2</v>
      </c>
    </row>
    <row r="13" spans="1:70" x14ac:dyDescent="0.25">
      <c r="A13" s="16" t="s">
        <v>22</v>
      </c>
      <c r="B13" s="33">
        <v>3</v>
      </c>
      <c r="C13" s="33">
        <v>1</v>
      </c>
      <c r="D13" s="26">
        <v>0.33333333333333331</v>
      </c>
      <c r="E13" s="26"/>
      <c r="F13" s="33">
        <v>3</v>
      </c>
      <c r="G13" s="33">
        <v>3</v>
      </c>
      <c r="H13" s="26">
        <v>1</v>
      </c>
      <c r="I13" s="44">
        <v>3585</v>
      </c>
      <c r="J13" s="35">
        <v>569792.73</v>
      </c>
      <c r="K13" s="44">
        <v>58</v>
      </c>
      <c r="L13" s="35">
        <v>23108</v>
      </c>
      <c r="M13" s="33">
        <v>5</v>
      </c>
      <c r="N13" s="33">
        <v>1</v>
      </c>
      <c r="O13" s="26">
        <v>0.2</v>
      </c>
      <c r="P13" s="26"/>
      <c r="Q13" s="33">
        <v>4</v>
      </c>
      <c r="R13" s="33">
        <v>4</v>
      </c>
      <c r="S13" s="26">
        <v>1</v>
      </c>
      <c r="T13" s="44">
        <v>4093</v>
      </c>
      <c r="U13" s="35">
        <v>716645.3</v>
      </c>
      <c r="V13" s="44">
        <v>10</v>
      </c>
      <c r="W13" s="35">
        <v>1437.55</v>
      </c>
      <c r="X13" s="26"/>
      <c r="Y13" s="75">
        <v>4</v>
      </c>
      <c r="Z13" s="75">
        <v>4</v>
      </c>
      <c r="AA13" s="26">
        <v>1</v>
      </c>
      <c r="AB13" s="101">
        <v>3909</v>
      </c>
      <c r="AC13" s="35">
        <v>804405.98</v>
      </c>
      <c r="AD13" s="101">
        <v>16</v>
      </c>
      <c r="AE13" s="35">
        <v>31751</v>
      </c>
      <c r="AF13" s="33">
        <v>35</v>
      </c>
      <c r="AG13" s="33">
        <v>27</v>
      </c>
      <c r="AH13" s="26">
        <v>0.77142857142857146</v>
      </c>
      <c r="AI13" s="26"/>
      <c r="AJ13" s="75">
        <v>5</v>
      </c>
      <c r="AK13" s="75">
        <v>5</v>
      </c>
      <c r="AL13" s="26">
        <v>1</v>
      </c>
      <c r="AM13" s="35">
        <v>3760</v>
      </c>
      <c r="AN13" s="35">
        <v>893948.15000000014</v>
      </c>
      <c r="AO13" s="101">
        <v>12</v>
      </c>
      <c r="AP13" s="35">
        <v>3900.01</v>
      </c>
      <c r="AQ13" s="33">
        <v>33</v>
      </c>
      <c r="AR13" s="33">
        <v>20</v>
      </c>
      <c r="AS13" s="26">
        <v>0.60606060606060608</v>
      </c>
      <c r="AT13" s="26"/>
      <c r="AU13" s="75">
        <v>6</v>
      </c>
      <c r="AV13" s="75">
        <v>5</v>
      </c>
      <c r="AW13" s="26">
        <v>0.83333333333333337</v>
      </c>
      <c r="AX13" s="35">
        <v>3160</v>
      </c>
      <c r="AY13" s="35">
        <v>611206.32000000007</v>
      </c>
      <c r="AZ13" s="101">
        <v>14</v>
      </c>
      <c r="BA13" s="35">
        <v>4175</v>
      </c>
      <c r="BB13" s="33">
        <v>39</v>
      </c>
      <c r="BC13" s="33">
        <v>26</v>
      </c>
      <c r="BD13" s="26">
        <v>0.66666666666666663</v>
      </c>
      <c r="BE13" s="26"/>
      <c r="BF13" s="99">
        <v>6</v>
      </c>
      <c r="BG13" s="99">
        <v>4</v>
      </c>
      <c r="BH13" s="84">
        <f t="shared" si="1"/>
        <v>0.66666666666666663</v>
      </c>
      <c r="BI13" s="100">
        <v>1026</v>
      </c>
      <c r="BJ13" s="91">
        <v>192996.84000000003</v>
      </c>
      <c r="BK13" s="100">
        <v>7</v>
      </c>
      <c r="BL13" s="91">
        <v>820</v>
      </c>
      <c r="BM13" s="99">
        <v>8</v>
      </c>
      <c r="BN13" s="99">
        <v>5</v>
      </c>
      <c r="BO13" s="84">
        <f t="shared" si="2"/>
        <v>0.625</v>
      </c>
      <c r="BP13" s="159" t="str">
        <f t="shared" si="0"/>
        <v>No</v>
      </c>
      <c r="BQ13" s="226" t="s">
        <v>319</v>
      </c>
      <c r="BR13" s="227">
        <v>5</v>
      </c>
    </row>
    <row r="14" spans="1:70" x14ac:dyDescent="0.25">
      <c r="A14" s="16" t="s">
        <v>4</v>
      </c>
      <c r="B14" s="33">
        <v>19</v>
      </c>
      <c r="C14" s="33">
        <v>13</v>
      </c>
      <c r="D14" s="26">
        <v>0.68421052631578949</v>
      </c>
      <c r="E14" s="26"/>
      <c r="F14" s="33">
        <v>19</v>
      </c>
      <c r="G14" s="33">
        <v>17</v>
      </c>
      <c r="H14" s="26">
        <v>0.89473684210526316</v>
      </c>
      <c r="I14" s="44">
        <v>39188</v>
      </c>
      <c r="J14" s="35">
        <v>1062374.32</v>
      </c>
      <c r="K14" s="44">
        <v>143</v>
      </c>
      <c r="L14" s="35">
        <v>11419.119999999999</v>
      </c>
      <c r="M14" s="33">
        <v>26</v>
      </c>
      <c r="N14" s="33">
        <v>19</v>
      </c>
      <c r="O14" s="26">
        <v>0.73076923076923073</v>
      </c>
      <c r="P14" s="26"/>
      <c r="Q14" s="33">
        <v>17</v>
      </c>
      <c r="R14" s="33">
        <v>12</v>
      </c>
      <c r="S14" s="26">
        <v>0.70588235294117652</v>
      </c>
      <c r="T14" s="44">
        <v>39142</v>
      </c>
      <c r="U14" s="35">
        <v>1165001.5</v>
      </c>
      <c r="V14" s="44">
        <v>130</v>
      </c>
      <c r="W14" s="35">
        <v>9185</v>
      </c>
      <c r="X14" s="26"/>
      <c r="Y14" s="75">
        <v>18</v>
      </c>
      <c r="Z14" s="75">
        <v>16</v>
      </c>
      <c r="AA14" s="26">
        <v>0.88888888888888884</v>
      </c>
      <c r="AB14" s="101">
        <v>42779</v>
      </c>
      <c r="AC14" s="35">
        <v>1219616.6100000003</v>
      </c>
      <c r="AD14" s="101">
        <v>188</v>
      </c>
      <c r="AE14" s="35">
        <v>10043.09</v>
      </c>
      <c r="AF14" s="33">
        <v>29</v>
      </c>
      <c r="AG14" s="33">
        <v>23</v>
      </c>
      <c r="AH14" s="26">
        <v>0.7931034482758621</v>
      </c>
      <c r="AI14" s="26"/>
      <c r="AJ14" s="75">
        <v>19</v>
      </c>
      <c r="AK14" s="75">
        <v>17</v>
      </c>
      <c r="AL14" s="26">
        <v>0.89473684210526316</v>
      </c>
      <c r="AM14" s="35">
        <v>47088</v>
      </c>
      <c r="AN14" s="35">
        <v>900988.14999999991</v>
      </c>
      <c r="AO14" s="101">
        <v>117</v>
      </c>
      <c r="AP14" s="35">
        <v>4493.58</v>
      </c>
      <c r="AQ14" s="33">
        <v>33</v>
      </c>
      <c r="AR14" s="33">
        <v>28</v>
      </c>
      <c r="AS14" s="26">
        <v>0.84848484848484851</v>
      </c>
      <c r="AT14" s="26"/>
      <c r="AU14" s="75">
        <v>19</v>
      </c>
      <c r="AV14" s="75">
        <v>16</v>
      </c>
      <c r="AW14" s="26">
        <v>0.84210526315789469</v>
      </c>
      <c r="AX14" s="35">
        <v>58755</v>
      </c>
      <c r="AY14" s="35">
        <v>1031949.3200000001</v>
      </c>
      <c r="AZ14" s="101">
        <v>272</v>
      </c>
      <c r="BA14" s="35">
        <v>8505.5400000000009</v>
      </c>
      <c r="BB14" s="33">
        <v>47</v>
      </c>
      <c r="BC14" s="33">
        <v>38</v>
      </c>
      <c r="BD14" s="26">
        <v>0.80851063829787229</v>
      </c>
      <c r="BE14" s="26"/>
      <c r="BF14" s="99">
        <v>17</v>
      </c>
      <c r="BG14" s="99">
        <v>16</v>
      </c>
      <c r="BH14" s="84">
        <f t="shared" si="1"/>
        <v>0.94117647058823528</v>
      </c>
      <c r="BI14" s="100">
        <v>40119</v>
      </c>
      <c r="BJ14" s="91">
        <v>678443.14</v>
      </c>
      <c r="BK14" s="100">
        <v>1671</v>
      </c>
      <c r="BL14" s="91">
        <v>54665.97</v>
      </c>
      <c r="BM14" s="99">
        <v>47</v>
      </c>
      <c r="BN14" s="99">
        <v>42</v>
      </c>
      <c r="BO14" s="84">
        <f t="shared" si="2"/>
        <v>0.8936170212765957</v>
      </c>
      <c r="BP14" s="159" t="str">
        <f t="shared" si="0"/>
        <v>OK</v>
      </c>
      <c r="BQ14" s="226" t="s">
        <v>4</v>
      </c>
      <c r="BR14" s="227">
        <v>42</v>
      </c>
    </row>
    <row r="15" spans="1:70" x14ac:dyDescent="0.25">
      <c r="A15" s="16" t="s">
        <v>27</v>
      </c>
      <c r="B15" s="33">
        <v>9</v>
      </c>
      <c r="C15" s="33">
        <v>3</v>
      </c>
      <c r="D15" s="26">
        <v>0.33333333333333331</v>
      </c>
      <c r="E15" s="26"/>
      <c r="F15" s="33">
        <v>10</v>
      </c>
      <c r="G15" s="33">
        <v>5</v>
      </c>
      <c r="H15" s="26">
        <v>0.5</v>
      </c>
      <c r="I15" s="44">
        <v>468463</v>
      </c>
      <c r="J15" s="35">
        <v>3192048.4300000006</v>
      </c>
      <c r="K15" s="44">
        <v>41</v>
      </c>
      <c r="L15" s="35">
        <v>9047.5499999999993</v>
      </c>
      <c r="M15" s="33">
        <v>9</v>
      </c>
      <c r="N15" s="33">
        <v>6</v>
      </c>
      <c r="O15" s="26">
        <v>0.66666666666666663</v>
      </c>
      <c r="P15" s="26"/>
      <c r="Q15" s="33">
        <v>11</v>
      </c>
      <c r="R15" s="33">
        <v>7</v>
      </c>
      <c r="S15" s="26">
        <v>0.63636363636363635</v>
      </c>
      <c r="T15" s="44">
        <v>490483</v>
      </c>
      <c r="U15" s="35">
        <v>3380434.2700000005</v>
      </c>
      <c r="V15" s="44">
        <v>65</v>
      </c>
      <c r="W15" s="35">
        <v>2321.73</v>
      </c>
      <c r="X15" s="26"/>
      <c r="Y15" s="75">
        <v>11</v>
      </c>
      <c r="Z15" s="75">
        <v>9</v>
      </c>
      <c r="AA15" s="26">
        <v>0.81818181818181823</v>
      </c>
      <c r="AB15" s="101">
        <v>497417</v>
      </c>
      <c r="AC15" s="35">
        <v>3537747.1099999994</v>
      </c>
      <c r="AD15" s="101">
        <v>60</v>
      </c>
      <c r="AE15" s="35">
        <v>1798.59</v>
      </c>
      <c r="AF15" s="33">
        <v>13</v>
      </c>
      <c r="AG15" s="33">
        <v>10</v>
      </c>
      <c r="AH15" s="26">
        <v>0.76923076923076927</v>
      </c>
      <c r="AI15" s="26"/>
      <c r="AJ15" s="75">
        <v>13</v>
      </c>
      <c r="AK15" s="75">
        <v>4</v>
      </c>
      <c r="AL15" s="26">
        <v>0.30769230769230771</v>
      </c>
      <c r="AM15" s="35">
        <v>464852</v>
      </c>
      <c r="AN15" s="35">
        <v>3447884.7000000007</v>
      </c>
      <c r="AO15" s="101">
        <v>53</v>
      </c>
      <c r="AP15" s="35">
        <v>998.85</v>
      </c>
      <c r="AQ15" s="33">
        <v>14</v>
      </c>
      <c r="AR15" s="33">
        <v>10</v>
      </c>
      <c r="AS15" s="26">
        <v>0.7142857142857143</v>
      </c>
      <c r="AT15" s="26"/>
      <c r="AU15" s="75">
        <v>8</v>
      </c>
      <c r="AV15" s="75">
        <v>5</v>
      </c>
      <c r="AW15" s="26">
        <v>0.625</v>
      </c>
      <c r="AX15" s="35">
        <v>507681</v>
      </c>
      <c r="AY15" s="35">
        <v>3732393.23</v>
      </c>
      <c r="AZ15" s="101">
        <v>329</v>
      </c>
      <c r="BA15" s="35">
        <v>3954.8599999999997</v>
      </c>
      <c r="BB15" s="33">
        <v>14</v>
      </c>
      <c r="BC15" s="33">
        <v>11</v>
      </c>
      <c r="BD15" s="26">
        <v>0.7857142857142857</v>
      </c>
      <c r="BE15" s="26"/>
      <c r="BF15" s="99">
        <v>8</v>
      </c>
      <c r="BG15" s="99">
        <v>7</v>
      </c>
      <c r="BH15" s="84">
        <f t="shared" si="1"/>
        <v>0.875</v>
      </c>
      <c r="BI15" s="100">
        <v>454694</v>
      </c>
      <c r="BJ15" s="91">
        <v>3334926.3</v>
      </c>
      <c r="BK15" s="100">
        <v>155</v>
      </c>
      <c r="BL15" s="91">
        <v>6102.81</v>
      </c>
      <c r="BM15" s="99">
        <v>15</v>
      </c>
      <c r="BN15" s="99">
        <v>11</v>
      </c>
      <c r="BO15" s="84">
        <f t="shared" si="2"/>
        <v>0.73333333333333328</v>
      </c>
      <c r="BP15" s="159" t="str">
        <f t="shared" si="0"/>
        <v>OK</v>
      </c>
      <c r="BQ15" s="226" t="s">
        <v>27</v>
      </c>
      <c r="BR15" s="227">
        <v>11</v>
      </c>
    </row>
    <row r="16" spans="1:70" x14ac:dyDescent="0.25">
      <c r="A16" s="16" t="s">
        <v>28</v>
      </c>
      <c r="B16" s="33">
        <v>4</v>
      </c>
      <c r="C16" s="33">
        <v>3</v>
      </c>
      <c r="D16" s="26">
        <v>0.75</v>
      </c>
      <c r="E16" s="26"/>
      <c r="F16" s="33">
        <v>6</v>
      </c>
      <c r="G16" s="33">
        <v>6</v>
      </c>
      <c r="H16" s="26">
        <v>1</v>
      </c>
      <c r="I16" s="44">
        <v>17752</v>
      </c>
      <c r="J16" s="35">
        <v>7799497.6099999994</v>
      </c>
      <c r="K16" s="44">
        <v>14</v>
      </c>
      <c r="L16" s="35">
        <v>4457.0499999999993</v>
      </c>
      <c r="M16" s="33">
        <v>6</v>
      </c>
      <c r="N16" s="33">
        <v>4</v>
      </c>
      <c r="O16" s="26">
        <v>0.66666666666666663</v>
      </c>
      <c r="P16" s="26"/>
      <c r="Q16" s="33">
        <v>7</v>
      </c>
      <c r="R16" s="33">
        <v>7</v>
      </c>
      <c r="S16" s="26">
        <v>1</v>
      </c>
      <c r="T16" s="44">
        <v>18912</v>
      </c>
      <c r="U16" s="35">
        <v>8077734.9300000006</v>
      </c>
      <c r="V16" s="44">
        <v>11</v>
      </c>
      <c r="W16" s="35">
        <v>6773.5</v>
      </c>
      <c r="X16" s="26"/>
      <c r="Y16" s="75">
        <v>7</v>
      </c>
      <c r="Z16" s="75">
        <v>6</v>
      </c>
      <c r="AA16" s="26">
        <v>0.8571428571428571</v>
      </c>
      <c r="AB16" s="101">
        <v>19969</v>
      </c>
      <c r="AC16" s="35">
        <v>8357746.3600000003</v>
      </c>
      <c r="AD16" s="101">
        <v>6</v>
      </c>
      <c r="AE16" s="35">
        <v>3993.97</v>
      </c>
      <c r="AF16" s="33">
        <v>6</v>
      </c>
      <c r="AG16" s="33">
        <v>3</v>
      </c>
      <c r="AH16" s="26">
        <v>0.5</v>
      </c>
      <c r="AI16" s="26"/>
      <c r="AJ16" s="75">
        <v>7</v>
      </c>
      <c r="AK16" s="75">
        <v>6</v>
      </c>
      <c r="AL16" s="26">
        <v>0.8571428571428571</v>
      </c>
      <c r="AM16" s="35">
        <v>22588</v>
      </c>
      <c r="AN16" s="35">
        <v>8960100.0599999987</v>
      </c>
      <c r="AO16" s="101">
        <v>8</v>
      </c>
      <c r="AP16" s="35">
        <v>1525.79</v>
      </c>
      <c r="AQ16" s="33">
        <v>22</v>
      </c>
      <c r="AR16" s="33">
        <v>20</v>
      </c>
      <c r="AS16" s="26">
        <v>0.90909090909090906</v>
      </c>
      <c r="AT16" s="26"/>
      <c r="AU16" s="75">
        <v>12</v>
      </c>
      <c r="AV16" s="75">
        <v>12</v>
      </c>
      <c r="AW16" s="26">
        <v>1</v>
      </c>
      <c r="AX16" s="35">
        <v>23224</v>
      </c>
      <c r="AY16" s="35">
        <v>10227923.02</v>
      </c>
      <c r="AZ16" s="101">
        <v>12</v>
      </c>
      <c r="BA16" s="35">
        <v>1598.01</v>
      </c>
      <c r="BB16" s="33">
        <v>25</v>
      </c>
      <c r="BC16" s="33">
        <v>22</v>
      </c>
      <c r="BD16" s="26">
        <v>0.88</v>
      </c>
      <c r="BE16" s="26"/>
      <c r="BF16" s="99">
        <v>13</v>
      </c>
      <c r="BG16" s="99">
        <v>8</v>
      </c>
      <c r="BH16" s="84">
        <f t="shared" si="1"/>
        <v>0.61538461538461542</v>
      </c>
      <c r="BI16" s="100">
        <v>11110</v>
      </c>
      <c r="BJ16" s="91">
        <v>6153031.1999999983</v>
      </c>
      <c r="BK16" s="100">
        <v>139</v>
      </c>
      <c r="BL16" s="91">
        <v>28535</v>
      </c>
      <c r="BM16" s="99">
        <v>15</v>
      </c>
      <c r="BN16" s="99">
        <v>14</v>
      </c>
      <c r="BO16" s="84">
        <f t="shared" si="2"/>
        <v>0.93333333333333335</v>
      </c>
      <c r="BP16" s="159" t="str">
        <f t="shared" si="0"/>
        <v>OK</v>
      </c>
      <c r="BQ16" s="226" t="s">
        <v>28</v>
      </c>
      <c r="BR16" s="227">
        <v>14</v>
      </c>
    </row>
    <row r="17" spans="1:70" x14ac:dyDescent="0.25">
      <c r="A17" s="16" t="s">
        <v>5</v>
      </c>
      <c r="B17" s="33"/>
      <c r="C17" s="33"/>
      <c r="D17" s="26"/>
      <c r="E17" s="26"/>
      <c r="F17" s="33"/>
      <c r="G17" s="33"/>
      <c r="H17" s="26"/>
      <c r="I17" s="44"/>
      <c r="J17" s="35"/>
      <c r="K17" s="44"/>
      <c r="L17" s="35"/>
      <c r="M17" s="33"/>
      <c r="N17" s="33"/>
      <c r="O17" s="26"/>
      <c r="P17" s="26"/>
      <c r="Q17" s="33"/>
      <c r="R17" s="33"/>
      <c r="S17" s="26"/>
      <c r="T17" s="44"/>
      <c r="U17" s="35"/>
      <c r="V17" s="44"/>
      <c r="W17" s="35"/>
      <c r="X17" s="26"/>
      <c r="Y17" s="75"/>
      <c r="Z17" s="75"/>
      <c r="AA17" s="26"/>
      <c r="AB17" s="101"/>
      <c r="AC17" s="35"/>
      <c r="AD17" s="101"/>
      <c r="AE17" s="35"/>
      <c r="AF17" s="33"/>
      <c r="AG17" s="33"/>
      <c r="AH17" s="26"/>
      <c r="AI17" s="26"/>
      <c r="AJ17" s="75"/>
      <c r="AK17" s="75"/>
      <c r="AL17" s="26"/>
      <c r="AM17" s="35"/>
      <c r="AN17" s="35"/>
      <c r="AO17" s="101"/>
      <c r="AP17" s="35"/>
      <c r="AQ17" s="33"/>
      <c r="AR17" s="33"/>
      <c r="AS17" s="26"/>
      <c r="AT17" s="26"/>
      <c r="AU17" s="75" t="s">
        <v>315</v>
      </c>
      <c r="AV17" s="75" t="s">
        <v>315</v>
      </c>
      <c r="AW17" s="26"/>
      <c r="AX17" s="35"/>
      <c r="AY17" s="35"/>
      <c r="AZ17" s="101"/>
      <c r="BA17" s="35"/>
      <c r="BB17" s="33"/>
      <c r="BC17" s="33"/>
      <c r="BD17" s="26"/>
      <c r="BE17" s="26"/>
      <c r="BF17" s="99" t="s">
        <v>315</v>
      </c>
      <c r="BG17" s="99" t="s">
        <v>315</v>
      </c>
      <c r="BH17" s="84"/>
      <c r="BI17" s="100"/>
      <c r="BJ17" s="91"/>
      <c r="BK17" s="100"/>
      <c r="BL17" s="91"/>
      <c r="BM17" s="99"/>
      <c r="BN17" s="99"/>
      <c r="BO17" s="84"/>
      <c r="BP17" s="159" t="str">
        <f t="shared" si="0"/>
        <v>No</v>
      </c>
      <c r="BQ17" s="226"/>
      <c r="BR17" s="227"/>
    </row>
    <row r="18" spans="1:70" x14ac:dyDescent="0.25">
      <c r="A18" s="16" t="s">
        <v>21</v>
      </c>
      <c r="B18" s="33">
        <v>57</v>
      </c>
      <c r="C18" s="33">
        <v>38</v>
      </c>
      <c r="D18" s="26">
        <v>0.66666666666666663</v>
      </c>
      <c r="E18" s="26"/>
      <c r="F18" s="33">
        <v>61</v>
      </c>
      <c r="G18" s="33">
        <v>47</v>
      </c>
      <c r="H18" s="26">
        <v>0.77049180327868849</v>
      </c>
      <c r="I18" s="44">
        <v>361234</v>
      </c>
      <c r="J18" s="35">
        <v>49665565.57</v>
      </c>
      <c r="K18" s="44">
        <v>1362</v>
      </c>
      <c r="L18" s="35">
        <v>253322.28</v>
      </c>
      <c r="M18" s="33">
        <v>330</v>
      </c>
      <c r="N18" s="33">
        <v>198</v>
      </c>
      <c r="O18" s="26">
        <v>0.6</v>
      </c>
      <c r="P18" s="26"/>
      <c r="Q18" s="33">
        <v>63</v>
      </c>
      <c r="R18" s="33">
        <v>46</v>
      </c>
      <c r="S18" s="26">
        <v>0.73015873015873012</v>
      </c>
      <c r="T18" s="44">
        <v>441942</v>
      </c>
      <c r="U18" s="35">
        <v>61784487.039999999</v>
      </c>
      <c r="V18" s="44">
        <v>1151</v>
      </c>
      <c r="W18" s="35">
        <v>379844.18</v>
      </c>
      <c r="X18" s="26"/>
      <c r="Y18" s="75">
        <v>61</v>
      </c>
      <c r="Z18" s="75">
        <v>49</v>
      </c>
      <c r="AA18" s="26">
        <v>0.80327868852459017</v>
      </c>
      <c r="AB18" s="101">
        <v>487444</v>
      </c>
      <c r="AC18" s="35">
        <v>67867182.479999989</v>
      </c>
      <c r="AD18" s="101">
        <v>1065</v>
      </c>
      <c r="AE18" s="35">
        <v>197786.17999999996</v>
      </c>
      <c r="AF18" s="33">
        <v>345</v>
      </c>
      <c r="AG18" s="33">
        <v>257</v>
      </c>
      <c r="AH18" s="26">
        <v>0.74492753623188401</v>
      </c>
      <c r="AI18" s="26"/>
      <c r="AJ18" s="75">
        <v>67</v>
      </c>
      <c r="AK18" s="75">
        <v>50</v>
      </c>
      <c r="AL18" s="26">
        <v>0.74626865671641796</v>
      </c>
      <c r="AM18" s="35">
        <v>549410</v>
      </c>
      <c r="AN18" s="35">
        <v>81929462.229999989</v>
      </c>
      <c r="AO18" s="101">
        <v>985</v>
      </c>
      <c r="AP18" s="35">
        <v>201869.21999999994</v>
      </c>
      <c r="AQ18" s="33">
        <v>299</v>
      </c>
      <c r="AR18" s="33">
        <v>206</v>
      </c>
      <c r="AS18" s="26">
        <v>0.68896321070234112</v>
      </c>
      <c r="AT18" s="26"/>
      <c r="AU18" s="75">
        <v>66</v>
      </c>
      <c r="AV18" s="75">
        <v>58</v>
      </c>
      <c r="AW18" s="26">
        <v>0.87878787878787878</v>
      </c>
      <c r="AX18" s="35">
        <v>621900</v>
      </c>
      <c r="AY18" s="35">
        <v>106914726.10000001</v>
      </c>
      <c r="AZ18" s="101">
        <v>1266</v>
      </c>
      <c r="BA18" s="35">
        <v>297560.11000000004</v>
      </c>
      <c r="BB18" s="33">
        <v>295</v>
      </c>
      <c r="BC18" s="33">
        <v>199</v>
      </c>
      <c r="BD18" s="26">
        <v>0.6745762711864407</v>
      </c>
      <c r="BE18" s="26"/>
      <c r="BF18" s="99">
        <v>209</v>
      </c>
      <c r="BG18" s="99">
        <v>178</v>
      </c>
      <c r="BH18" s="84">
        <f>BG18/BF18</f>
        <v>0.85167464114832536</v>
      </c>
      <c r="BI18" s="100">
        <v>802673</v>
      </c>
      <c r="BJ18" s="91">
        <v>109632959.68999992</v>
      </c>
      <c r="BK18" s="100">
        <v>4324</v>
      </c>
      <c r="BL18" s="91">
        <v>714462.33000000007</v>
      </c>
      <c r="BM18" s="99">
        <v>283</v>
      </c>
      <c r="BN18" s="99">
        <v>181</v>
      </c>
      <c r="BO18" s="84">
        <f>BN18/BM18</f>
        <v>0.63957597173144876</v>
      </c>
      <c r="BP18" s="159" t="str">
        <f t="shared" si="0"/>
        <v>No</v>
      </c>
      <c r="BQ18" s="226" t="s">
        <v>356</v>
      </c>
      <c r="BR18" s="227">
        <v>181</v>
      </c>
    </row>
    <row r="19" spans="1:70" x14ac:dyDescent="0.25">
      <c r="A19" s="16" t="s">
        <v>7</v>
      </c>
      <c r="B19" s="33">
        <v>2</v>
      </c>
      <c r="C19" s="33">
        <v>2</v>
      </c>
      <c r="D19" s="26">
        <v>1</v>
      </c>
      <c r="E19" s="26"/>
      <c r="F19" s="33">
        <v>2</v>
      </c>
      <c r="G19" s="33">
        <v>1</v>
      </c>
      <c r="H19" s="26">
        <v>0.5</v>
      </c>
      <c r="I19" s="44">
        <v>1756</v>
      </c>
      <c r="J19" s="35">
        <v>1872848.38</v>
      </c>
      <c r="K19" s="44">
        <v>119</v>
      </c>
      <c r="L19" s="35">
        <v>153015.32</v>
      </c>
      <c r="M19" s="33">
        <v>17</v>
      </c>
      <c r="N19" s="33">
        <v>1</v>
      </c>
      <c r="O19" s="26">
        <v>5.8823529411764705E-2</v>
      </c>
      <c r="P19" s="26"/>
      <c r="Q19" s="33">
        <v>2</v>
      </c>
      <c r="R19" s="33">
        <v>1</v>
      </c>
      <c r="S19" s="26">
        <v>0.5</v>
      </c>
      <c r="T19" s="44">
        <v>2010</v>
      </c>
      <c r="U19" s="35">
        <v>2084493.79</v>
      </c>
      <c r="V19" s="44">
        <v>177</v>
      </c>
      <c r="W19" s="35">
        <v>130661.46</v>
      </c>
      <c r="X19" s="26"/>
      <c r="Y19" s="75">
        <v>2</v>
      </c>
      <c r="Z19" s="75">
        <v>1</v>
      </c>
      <c r="AA19" s="26">
        <v>0.5</v>
      </c>
      <c r="AB19" s="101">
        <v>1618</v>
      </c>
      <c r="AC19" s="35">
        <v>1798840.54</v>
      </c>
      <c r="AD19" s="101">
        <v>120</v>
      </c>
      <c r="AE19" s="35">
        <v>141723</v>
      </c>
      <c r="AF19" s="33">
        <v>16</v>
      </c>
      <c r="AG19" s="33">
        <v>6</v>
      </c>
      <c r="AH19" s="26">
        <v>0.375</v>
      </c>
      <c r="AI19" s="26"/>
      <c r="AJ19" s="75">
        <v>3</v>
      </c>
      <c r="AK19" s="75">
        <v>1</v>
      </c>
      <c r="AL19" s="26">
        <v>0.33333333333333331</v>
      </c>
      <c r="AM19" s="35">
        <v>1349</v>
      </c>
      <c r="AN19" s="35">
        <v>1472491.53</v>
      </c>
      <c r="AO19" s="101">
        <v>97</v>
      </c>
      <c r="AP19" s="35">
        <v>127892.01</v>
      </c>
      <c r="AQ19" s="33">
        <v>21</v>
      </c>
      <c r="AR19" s="33">
        <v>8</v>
      </c>
      <c r="AS19" s="26">
        <v>0.38095238095238093</v>
      </c>
      <c r="AT19" s="26"/>
      <c r="AU19" s="75">
        <v>3</v>
      </c>
      <c r="AV19" s="75">
        <v>3</v>
      </c>
      <c r="AW19" s="26">
        <v>1</v>
      </c>
      <c r="AX19" s="35">
        <v>1319</v>
      </c>
      <c r="AY19" s="35">
        <v>1456415.64</v>
      </c>
      <c r="AZ19" s="101">
        <v>90</v>
      </c>
      <c r="BA19" s="35">
        <v>94659.45</v>
      </c>
      <c r="BB19" s="33">
        <v>22</v>
      </c>
      <c r="BC19" s="33">
        <v>10</v>
      </c>
      <c r="BD19" s="26">
        <v>0.45454545454545453</v>
      </c>
      <c r="BE19" s="26"/>
      <c r="BF19" s="99">
        <v>5</v>
      </c>
      <c r="BG19" s="99">
        <v>4</v>
      </c>
      <c r="BH19" s="84">
        <f>BG19/BF19</f>
        <v>0.8</v>
      </c>
      <c r="BI19" s="100">
        <v>1592</v>
      </c>
      <c r="BJ19" s="91">
        <v>1807567.52</v>
      </c>
      <c r="BK19" s="100">
        <v>209</v>
      </c>
      <c r="BL19" s="91">
        <v>198772.75</v>
      </c>
      <c r="BM19" s="99">
        <v>19</v>
      </c>
      <c r="BN19" s="99">
        <v>19</v>
      </c>
      <c r="BO19" s="84">
        <f>BN19/BM19</f>
        <v>1</v>
      </c>
      <c r="BP19" s="159" t="str">
        <f t="shared" si="0"/>
        <v>OK</v>
      </c>
      <c r="BQ19" s="226" t="s">
        <v>7</v>
      </c>
      <c r="BR19" s="227">
        <v>19</v>
      </c>
    </row>
    <row r="20" spans="1:70" x14ac:dyDescent="0.25">
      <c r="A20" s="16" t="s">
        <v>6</v>
      </c>
      <c r="B20" s="33">
        <v>1</v>
      </c>
      <c r="C20" s="33">
        <v>0</v>
      </c>
      <c r="D20" s="26">
        <v>0</v>
      </c>
      <c r="E20" s="26"/>
      <c r="F20" s="33">
        <v>1</v>
      </c>
      <c r="G20" s="33">
        <v>1</v>
      </c>
      <c r="H20" s="26">
        <v>1</v>
      </c>
      <c r="I20" s="44">
        <v>28080</v>
      </c>
      <c r="J20" s="35">
        <v>3965825.75</v>
      </c>
      <c r="K20" s="44">
        <v>314</v>
      </c>
      <c r="L20" s="35">
        <v>66269.259999999995</v>
      </c>
      <c r="M20" s="33">
        <v>10</v>
      </c>
      <c r="N20" s="33">
        <v>8</v>
      </c>
      <c r="O20" s="26">
        <v>0.8</v>
      </c>
      <c r="P20" s="26"/>
      <c r="Q20" s="33">
        <v>1</v>
      </c>
      <c r="R20" s="33">
        <v>1</v>
      </c>
      <c r="S20" s="26">
        <v>1</v>
      </c>
      <c r="T20" s="44">
        <v>29617</v>
      </c>
      <c r="U20" s="35">
        <v>4136142.4</v>
      </c>
      <c r="V20" s="44">
        <v>311</v>
      </c>
      <c r="W20" s="35">
        <v>72079.45</v>
      </c>
      <c r="X20" s="26"/>
      <c r="Y20" s="75">
        <v>1</v>
      </c>
      <c r="Z20" s="75">
        <v>1</v>
      </c>
      <c r="AA20" s="26">
        <v>1</v>
      </c>
      <c r="AB20" s="101">
        <v>30544</v>
      </c>
      <c r="AC20" s="35">
        <v>4217166.84</v>
      </c>
      <c r="AD20" s="101">
        <v>372</v>
      </c>
      <c r="AE20" s="35">
        <v>89603.69</v>
      </c>
      <c r="AF20" s="33">
        <v>7</v>
      </c>
      <c r="AG20" s="33">
        <v>4</v>
      </c>
      <c r="AH20" s="26">
        <v>0.5714285714285714</v>
      </c>
      <c r="AI20" s="26"/>
      <c r="AJ20" s="75">
        <v>1</v>
      </c>
      <c r="AK20" s="75">
        <v>1</v>
      </c>
      <c r="AL20" s="26">
        <v>1</v>
      </c>
      <c r="AM20" s="35">
        <v>32608</v>
      </c>
      <c r="AN20" s="35">
        <v>4561639.74</v>
      </c>
      <c r="AO20" s="101">
        <v>324</v>
      </c>
      <c r="AP20" s="35">
        <v>79735.929999999993</v>
      </c>
      <c r="AQ20" s="33">
        <v>8</v>
      </c>
      <c r="AR20" s="33">
        <v>8</v>
      </c>
      <c r="AS20" s="26">
        <v>1</v>
      </c>
      <c r="AT20" s="26"/>
      <c r="AU20" s="75">
        <v>1</v>
      </c>
      <c r="AV20" s="75">
        <v>1</v>
      </c>
      <c r="AW20" s="26">
        <v>1</v>
      </c>
      <c r="AX20" s="35">
        <v>33212</v>
      </c>
      <c r="AY20" s="35">
        <v>4650297.5999999996</v>
      </c>
      <c r="AZ20" s="101">
        <v>213</v>
      </c>
      <c r="BA20" s="35">
        <v>54360.82</v>
      </c>
      <c r="BB20" s="33">
        <v>9</v>
      </c>
      <c r="BC20" s="33">
        <v>9</v>
      </c>
      <c r="BD20" s="26">
        <v>1</v>
      </c>
      <c r="BE20" s="26"/>
      <c r="BF20" s="99">
        <v>1</v>
      </c>
      <c r="BG20" s="99">
        <v>1</v>
      </c>
      <c r="BH20" s="84">
        <f>BG20/BF20</f>
        <v>1</v>
      </c>
      <c r="BI20" s="100">
        <v>29847</v>
      </c>
      <c r="BJ20" s="91">
        <v>4479279.63</v>
      </c>
      <c r="BK20" s="100">
        <v>265</v>
      </c>
      <c r="BL20" s="91">
        <v>90868.7</v>
      </c>
      <c r="BM20" s="99">
        <v>9</v>
      </c>
      <c r="BN20" s="99">
        <v>9</v>
      </c>
      <c r="BO20" s="84">
        <f>BN20/BM20</f>
        <v>1</v>
      </c>
      <c r="BP20" s="159" t="str">
        <f t="shared" si="0"/>
        <v>OK</v>
      </c>
      <c r="BQ20" s="226" t="s">
        <v>6</v>
      </c>
      <c r="BR20" s="227">
        <v>9</v>
      </c>
    </row>
    <row r="21" spans="1:70" x14ac:dyDescent="0.25">
      <c r="A21" s="16" t="s">
        <v>29</v>
      </c>
      <c r="B21" s="33"/>
      <c r="C21" s="33"/>
      <c r="D21" s="26"/>
      <c r="E21" s="26"/>
      <c r="F21" s="33"/>
      <c r="G21" s="33"/>
      <c r="H21" s="26"/>
      <c r="I21" s="44"/>
      <c r="J21" s="35"/>
      <c r="K21" s="44"/>
      <c r="L21" s="35"/>
      <c r="M21" s="33"/>
      <c r="N21" s="33"/>
      <c r="O21" s="26"/>
      <c r="P21" s="26"/>
      <c r="Q21" s="33"/>
      <c r="R21" s="33"/>
      <c r="S21" s="26"/>
      <c r="T21" s="44"/>
      <c r="U21" s="35"/>
      <c r="V21" s="44"/>
      <c r="W21" s="35"/>
      <c r="X21" s="26"/>
      <c r="Y21" s="75"/>
      <c r="Z21" s="75"/>
      <c r="AA21" s="26"/>
      <c r="AB21" s="101"/>
      <c r="AC21" s="35"/>
      <c r="AD21" s="101"/>
      <c r="AE21" s="35"/>
      <c r="AF21" s="33"/>
      <c r="AG21" s="33"/>
      <c r="AH21" s="26"/>
      <c r="AI21" s="26"/>
      <c r="AJ21" s="75"/>
      <c r="AK21" s="75"/>
      <c r="AL21" s="26"/>
      <c r="AM21" s="35"/>
      <c r="AN21" s="35"/>
      <c r="AO21" s="101"/>
      <c r="AP21" s="35"/>
      <c r="AQ21" s="33"/>
      <c r="AR21" s="33"/>
      <c r="AS21" s="26"/>
      <c r="AT21" s="26"/>
      <c r="AU21" s="75" t="s">
        <v>315</v>
      </c>
      <c r="AV21" s="75" t="s">
        <v>315</v>
      </c>
      <c r="AW21" s="26"/>
      <c r="AX21" s="35"/>
      <c r="AY21" s="35"/>
      <c r="AZ21" s="101"/>
      <c r="BA21" s="35"/>
      <c r="BB21" s="33"/>
      <c r="BC21" s="33"/>
      <c r="BD21" s="26"/>
      <c r="BE21" s="26"/>
      <c r="BF21" s="99" t="s">
        <v>315</v>
      </c>
      <c r="BG21" s="99" t="s">
        <v>315</v>
      </c>
      <c r="BH21" s="84"/>
      <c r="BI21" s="100"/>
      <c r="BJ21" s="91"/>
      <c r="BK21" s="100"/>
      <c r="BL21" s="91"/>
      <c r="BM21" s="99"/>
      <c r="BN21" s="99"/>
      <c r="BO21" s="84"/>
      <c r="BP21" s="159" t="str">
        <f t="shared" si="0"/>
        <v>No</v>
      </c>
      <c r="BQ21" s="226"/>
      <c r="BR21" s="227"/>
    </row>
    <row r="22" spans="1:70" x14ac:dyDescent="0.25">
      <c r="A22" s="16" t="s">
        <v>8</v>
      </c>
      <c r="B22" s="33">
        <v>6</v>
      </c>
      <c r="C22" s="33">
        <v>3</v>
      </c>
      <c r="D22" s="26">
        <v>0.5</v>
      </c>
      <c r="E22" s="26"/>
      <c r="F22" s="33">
        <v>7</v>
      </c>
      <c r="G22" s="33">
        <v>6</v>
      </c>
      <c r="H22" s="26">
        <v>0.8571428571428571</v>
      </c>
      <c r="I22" s="44">
        <v>1563</v>
      </c>
      <c r="J22" s="35">
        <v>385222.3</v>
      </c>
      <c r="K22" s="44">
        <v>127</v>
      </c>
      <c r="L22" s="35">
        <v>17986</v>
      </c>
      <c r="M22" s="33">
        <v>10</v>
      </c>
      <c r="N22" s="33">
        <v>6</v>
      </c>
      <c r="O22" s="26">
        <v>0.6</v>
      </c>
      <c r="P22" s="26"/>
      <c r="Q22" s="33">
        <v>8</v>
      </c>
      <c r="R22" s="33">
        <v>5</v>
      </c>
      <c r="S22" s="26">
        <v>0.625</v>
      </c>
      <c r="T22" s="44">
        <v>1842</v>
      </c>
      <c r="U22" s="35">
        <v>425383.5</v>
      </c>
      <c r="V22" s="44">
        <v>56</v>
      </c>
      <c r="W22" s="35">
        <v>7370</v>
      </c>
      <c r="X22" s="26"/>
      <c r="Y22" s="75">
        <v>8</v>
      </c>
      <c r="Z22" s="75">
        <v>6</v>
      </c>
      <c r="AA22" s="26">
        <v>0.75</v>
      </c>
      <c r="AB22" s="101">
        <v>2094</v>
      </c>
      <c r="AC22" s="35">
        <v>469326.44</v>
      </c>
      <c r="AD22" s="101">
        <v>85</v>
      </c>
      <c r="AE22" s="35">
        <v>8809.3700000000008</v>
      </c>
      <c r="AF22" s="33">
        <v>13</v>
      </c>
      <c r="AG22" s="33">
        <v>5</v>
      </c>
      <c r="AH22" s="26">
        <v>0.38461538461538464</v>
      </c>
      <c r="AI22" s="26"/>
      <c r="AJ22" s="75">
        <v>8</v>
      </c>
      <c r="AK22" s="75">
        <v>6</v>
      </c>
      <c r="AL22" s="26">
        <v>0.75</v>
      </c>
      <c r="AM22" s="35">
        <v>2121</v>
      </c>
      <c r="AN22" s="35">
        <v>483179.62</v>
      </c>
      <c r="AO22" s="101">
        <v>64</v>
      </c>
      <c r="AP22" s="35">
        <v>6403.22</v>
      </c>
      <c r="AQ22" s="33">
        <v>13</v>
      </c>
      <c r="AR22" s="33">
        <v>4</v>
      </c>
      <c r="AS22" s="26">
        <v>0.30769230769230771</v>
      </c>
      <c r="AT22" s="26"/>
      <c r="AU22" s="75">
        <v>9</v>
      </c>
      <c r="AV22" s="75">
        <v>8</v>
      </c>
      <c r="AW22" s="26">
        <v>0.88888888888888884</v>
      </c>
      <c r="AX22" s="35">
        <v>2009</v>
      </c>
      <c r="AY22" s="35">
        <v>453994.03</v>
      </c>
      <c r="AZ22" s="101">
        <v>51</v>
      </c>
      <c r="BA22" s="35">
        <v>10155.99</v>
      </c>
      <c r="BB22" s="33">
        <v>12</v>
      </c>
      <c r="BC22" s="33">
        <v>3</v>
      </c>
      <c r="BD22" s="26">
        <v>0.25</v>
      </c>
      <c r="BE22" s="26"/>
      <c r="BF22" s="99">
        <v>9</v>
      </c>
      <c r="BG22" s="99">
        <v>9</v>
      </c>
      <c r="BH22" s="84">
        <f>BG22/BF22</f>
        <v>1</v>
      </c>
      <c r="BI22" s="100">
        <v>1985</v>
      </c>
      <c r="BJ22" s="91">
        <v>360905.47</v>
      </c>
      <c r="BK22" s="100">
        <v>384</v>
      </c>
      <c r="BL22" s="91">
        <v>25982.54</v>
      </c>
      <c r="BM22" s="99">
        <v>11</v>
      </c>
      <c r="BN22" s="99">
        <v>4</v>
      </c>
      <c r="BO22" s="84">
        <f>BN22/BM22</f>
        <v>0.36363636363636365</v>
      </c>
      <c r="BP22" s="159" t="str">
        <f t="shared" si="0"/>
        <v>OK</v>
      </c>
      <c r="BQ22" s="226" t="s">
        <v>8</v>
      </c>
      <c r="BR22" s="227">
        <v>4</v>
      </c>
    </row>
    <row r="23" spans="1:70" x14ac:dyDescent="0.25">
      <c r="A23" s="16" t="s">
        <v>9</v>
      </c>
      <c r="B23" s="33"/>
      <c r="C23" s="33"/>
      <c r="D23" s="26"/>
      <c r="E23" s="26"/>
      <c r="F23" s="33"/>
      <c r="G23" s="33"/>
      <c r="H23" s="26"/>
      <c r="I23" s="44"/>
      <c r="J23" s="35"/>
      <c r="K23" s="44"/>
      <c r="L23" s="35"/>
      <c r="M23" s="33"/>
      <c r="N23" s="33"/>
      <c r="O23" s="26"/>
      <c r="P23" s="26"/>
      <c r="Q23" s="33"/>
      <c r="R23" s="33"/>
      <c r="S23" s="26"/>
      <c r="T23" s="44"/>
      <c r="U23" s="35"/>
      <c r="V23" s="44"/>
      <c r="W23" s="35"/>
      <c r="X23" s="26"/>
      <c r="Y23" s="75"/>
      <c r="Z23" s="75"/>
      <c r="AA23" s="26"/>
      <c r="AB23" s="101"/>
      <c r="AC23" s="35"/>
      <c r="AD23" s="101"/>
      <c r="AE23" s="35"/>
      <c r="AF23" s="33"/>
      <c r="AG23" s="33"/>
      <c r="AH23" s="26"/>
      <c r="AI23" s="26"/>
      <c r="AJ23" s="75"/>
      <c r="AK23" s="75"/>
      <c r="AL23" s="26"/>
      <c r="AM23" s="35"/>
      <c r="AN23" s="35"/>
      <c r="AO23" s="101"/>
      <c r="AP23" s="35"/>
      <c r="AQ23" s="33"/>
      <c r="AR23" s="33"/>
      <c r="AS23" s="26"/>
      <c r="AT23" s="26"/>
      <c r="AU23" s="75" t="s">
        <v>315</v>
      </c>
      <c r="AV23" s="75" t="s">
        <v>315</v>
      </c>
      <c r="AW23" s="26"/>
      <c r="AX23" s="35"/>
      <c r="AY23" s="35"/>
      <c r="AZ23" s="101"/>
      <c r="BA23" s="35"/>
      <c r="BB23" s="33"/>
      <c r="BC23" s="33"/>
      <c r="BD23" s="26"/>
      <c r="BE23" s="26"/>
      <c r="BF23" s="99" t="s">
        <v>315</v>
      </c>
      <c r="BG23" s="99" t="s">
        <v>315</v>
      </c>
      <c r="BH23" s="84"/>
      <c r="BI23" s="100"/>
      <c r="BJ23" s="91"/>
      <c r="BK23" s="100"/>
      <c r="BL23" s="91"/>
      <c r="BM23" s="99"/>
      <c r="BN23" s="99"/>
      <c r="BO23" s="84"/>
      <c r="BP23" s="159" t="str">
        <f t="shared" si="0"/>
        <v>No</v>
      </c>
      <c r="BQ23" s="226"/>
      <c r="BR23" s="227"/>
    </row>
    <row r="24" spans="1:70" x14ac:dyDescent="0.25">
      <c r="A24" s="16" t="s">
        <v>23</v>
      </c>
      <c r="B24" s="33">
        <v>145</v>
      </c>
      <c r="C24" s="33">
        <v>107</v>
      </c>
      <c r="D24" s="26">
        <v>0.73793103448275865</v>
      </c>
      <c r="E24" s="26"/>
      <c r="F24" s="33">
        <v>138</v>
      </c>
      <c r="G24" s="33">
        <v>100</v>
      </c>
      <c r="H24" s="26">
        <v>0.72463768115942029</v>
      </c>
      <c r="I24" s="44">
        <v>217325</v>
      </c>
      <c r="J24" s="35">
        <v>16832361.100000001</v>
      </c>
      <c r="K24" s="44">
        <v>384</v>
      </c>
      <c r="L24" s="35">
        <v>92018.78</v>
      </c>
      <c r="M24" s="33">
        <v>371</v>
      </c>
      <c r="N24" s="33">
        <v>162</v>
      </c>
      <c r="O24" s="26">
        <v>0.43665768194070081</v>
      </c>
      <c r="P24" s="26"/>
      <c r="Q24" s="33">
        <v>143</v>
      </c>
      <c r="R24" s="33">
        <v>90</v>
      </c>
      <c r="S24" s="26">
        <v>0.62937062937062938</v>
      </c>
      <c r="T24" s="44">
        <v>223936</v>
      </c>
      <c r="U24" s="35">
        <v>17789411.170000002</v>
      </c>
      <c r="V24" s="44">
        <v>793</v>
      </c>
      <c r="W24" s="35">
        <v>71806.740000000005</v>
      </c>
      <c r="X24" s="26"/>
      <c r="Y24" s="75">
        <v>142</v>
      </c>
      <c r="Z24" s="75">
        <v>103</v>
      </c>
      <c r="AA24" s="26">
        <v>0.72535211267605637</v>
      </c>
      <c r="AB24" s="101">
        <v>246928</v>
      </c>
      <c r="AC24" s="35">
        <v>18352164.690000005</v>
      </c>
      <c r="AD24" s="101">
        <v>463</v>
      </c>
      <c r="AE24" s="35">
        <v>91854.35</v>
      </c>
      <c r="AF24" s="33">
        <v>396</v>
      </c>
      <c r="AG24" s="33">
        <v>215</v>
      </c>
      <c r="AH24" s="26">
        <v>0.54292929292929293</v>
      </c>
      <c r="AI24" s="26"/>
      <c r="AJ24" s="75">
        <v>138</v>
      </c>
      <c r="AK24" s="75">
        <v>104</v>
      </c>
      <c r="AL24" s="26">
        <v>0.75362318840579712</v>
      </c>
      <c r="AM24" s="35">
        <v>259253</v>
      </c>
      <c r="AN24" s="35">
        <v>19729707.079999994</v>
      </c>
      <c r="AO24" s="101">
        <v>1088</v>
      </c>
      <c r="AP24" s="35">
        <v>155363.74</v>
      </c>
      <c r="AQ24" s="33">
        <v>425</v>
      </c>
      <c r="AR24" s="33">
        <v>214</v>
      </c>
      <c r="AS24" s="26">
        <v>0.50352941176470589</v>
      </c>
      <c r="AT24" s="26"/>
      <c r="AU24" s="75">
        <v>138</v>
      </c>
      <c r="AV24" s="75">
        <v>102</v>
      </c>
      <c r="AW24" s="26">
        <v>0.73913043478260865</v>
      </c>
      <c r="AX24" s="35">
        <v>280036</v>
      </c>
      <c r="AY24" s="35">
        <v>20853167.739999995</v>
      </c>
      <c r="AZ24" s="101">
        <v>665</v>
      </c>
      <c r="BA24" s="35">
        <v>150114.78</v>
      </c>
      <c r="BB24" s="33">
        <v>440</v>
      </c>
      <c r="BC24" s="33">
        <v>250</v>
      </c>
      <c r="BD24" s="26">
        <v>0.56818181818181823</v>
      </c>
      <c r="BE24" s="26"/>
      <c r="BF24" s="99">
        <v>36</v>
      </c>
      <c r="BG24" s="99">
        <v>32</v>
      </c>
      <c r="BH24" s="84">
        <f>BG24/BF24</f>
        <v>0.88888888888888884</v>
      </c>
      <c r="BI24" s="100">
        <v>13125</v>
      </c>
      <c r="BJ24" s="91">
        <v>1063640.31</v>
      </c>
      <c r="BK24" s="100">
        <v>493</v>
      </c>
      <c r="BL24" s="91">
        <v>128131.15999999999</v>
      </c>
      <c r="BM24" s="99">
        <v>58</v>
      </c>
      <c r="BN24" s="99">
        <v>32</v>
      </c>
      <c r="BO24" s="84">
        <f>BN24/BM24</f>
        <v>0.55172413793103448</v>
      </c>
      <c r="BP24" s="159" t="str">
        <f t="shared" si="0"/>
        <v>OK</v>
      </c>
      <c r="BQ24" s="226" t="s">
        <v>23</v>
      </c>
      <c r="BR24" s="227">
        <v>32</v>
      </c>
    </row>
    <row r="25" spans="1:70" x14ac:dyDescent="0.25">
      <c r="A25" s="16" t="s">
        <v>24</v>
      </c>
      <c r="B25" s="33"/>
      <c r="C25" s="33"/>
      <c r="D25" s="26"/>
      <c r="E25" s="26"/>
      <c r="F25" s="33"/>
      <c r="G25" s="33"/>
      <c r="H25" s="26"/>
      <c r="I25" s="44"/>
      <c r="J25" s="35"/>
      <c r="K25" s="44"/>
      <c r="L25" s="35"/>
      <c r="M25" s="33"/>
      <c r="N25" s="33"/>
      <c r="O25" s="26"/>
      <c r="P25" s="26"/>
      <c r="Q25" s="33"/>
      <c r="R25" s="33"/>
      <c r="S25" s="26"/>
      <c r="T25" s="44"/>
      <c r="U25" s="35"/>
      <c r="V25" s="44"/>
      <c r="W25" s="35"/>
      <c r="X25" s="26"/>
      <c r="Y25" s="75"/>
      <c r="Z25" s="75"/>
      <c r="AA25" s="26"/>
      <c r="AB25" s="101"/>
      <c r="AC25" s="35"/>
      <c r="AD25" s="101"/>
      <c r="AE25" s="35"/>
      <c r="AF25" s="33"/>
      <c r="AG25" s="33"/>
      <c r="AH25" s="26"/>
      <c r="AI25" s="26"/>
      <c r="AJ25" s="75"/>
      <c r="AK25" s="75"/>
      <c r="AL25" s="26"/>
      <c r="AM25" s="35"/>
      <c r="AN25" s="35"/>
      <c r="AO25" s="101"/>
      <c r="AP25" s="35"/>
      <c r="AQ25" s="33"/>
      <c r="AR25" s="33"/>
      <c r="AS25" s="26"/>
      <c r="AT25" s="26"/>
      <c r="AU25" s="75" t="s">
        <v>315</v>
      </c>
      <c r="AV25" s="75" t="s">
        <v>315</v>
      </c>
      <c r="AW25" s="26"/>
      <c r="AX25" s="35"/>
      <c r="AY25" s="35"/>
      <c r="AZ25" s="101"/>
      <c r="BA25" s="35"/>
      <c r="BB25" s="33"/>
      <c r="BC25" s="33"/>
      <c r="BD25" s="26"/>
      <c r="BE25" s="26"/>
      <c r="BF25" s="99" t="s">
        <v>315</v>
      </c>
      <c r="BG25" s="99" t="s">
        <v>315</v>
      </c>
      <c r="BH25" s="84"/>
      <c r="BI25" s="100"/>
      <c r="BJ25" s="91"/>
      <c r="BK25" s="100"/>
      <c r="BL25" s="91"/>
      <c r="BM25" s="99"/>
      <c r="BN25" s="99"/>
      <c r="BO25" s="84"/>
      <c r="BP25" s="159" t="str">
        <f t="shared" si="0"/>
        <v>No</v>
      </c>
      <c r="BQ25" s="226"/>
      <c r="BR25" s="227"/>
    </row>
    <row r="26" spans="1:70" x14ac:dyDescent="0.25">
      <c r="A26" s="16" t="s">
        <v>33</v>
      </c>
      <c r="B26" s="33">
        <v>2</v>
      </c>
      <c r="C26" s="33">
        <v>2</v>
      </c>
      <c r="D26" s="26">
        <v>1</v>
      </c>
      <c r="E26" s="26"/>
      <c r="F26" s="33">
        <v>2</v>
      </c>
      <c r="G26" s="33">
        <v>2</v>
      </c>
      <c r="H26" s="26">
        <v>1</v>
      </c>
      <c r="I26" s="44">
        <v>4331</v>
      </c>
      <c r="J26" s="35">
        <v>366310.12</v>
      </c>
      <c r="K26" s="44">
        <v>54</v>
      </c>
      <c r="L26" s="35">
        <v>4774.29</v>
      </c>
      <c r="M26" s="33">
        <v>6</v>
      </c>
      <c r="N26" s="33">
        <v>4</v>
      </c>
      <c r="O26" s="26">
        <v>0.66666666666666663</v>
      </c>
      <c r="P26" s="26"/>
      <c r="Q26" s="33">
        <v>2</v>
      </c>
      <c r="R26" s="33">
        <v>2</v>
      </c>
      <c r="S26" s="26">
        <v>1</v>
      </c>
      <c r="T26" s="44">
        <v>5681</v>
      </c>
      <c r="U26" s="35">
        <v>434477.05000000005</v>
      </c>
      <c r="V26" s="44">
        <v>57</v>
      </c>
      <c r="W26" s="35">
        <v>6878.46</v>
      </c>
      <c r="X26" s="26"/>
      <c r="Y26" s="75">
        <v>2</v>
      </c>
      <c r="Z26" s="75">
        <v>1</v>
      </c>
      <c r="AA26" s="26">
        <v>0.5</v>
      </c>
      <c r="AB26" s="101">
        <v>5109</v>
      </c>
      <c r="AC26" s="35">
        <v>357775.45999999996</v>
      </c>
      <c r="AD26" s="101">
        <v>52</v>
      </c>
      <c r="AE26" s="35">
        <v>4850</v>
      </c>
      <c r="AF26" s="33">
        <v>3</v>
      </c>
      <c r="AG26" s="33">
        <v>2</v>
      </c>
      <c r="AH26" s="26" t="s">
        <v>194</v>
      </c>
      <c r="AI26" s="26"/>
      <c r="AJ26" s="75">
        <v>2</v>
      </c>
      <c r="AK26" s="75">
        <v>1</v>
      </c>
      <c r="AL26" s="26">
        <v>0.5</v>
      </c>
      <c r="AM26" s="35">
        <v>4493</v>
      </c>
      <c r="AN26" s="35">
        <v>349638.32999999996</v>
      </c>
      <c r="AO26" s="101">
        <v>71</v>
      </c>
      <c r="AP26" s="35">
        <v>5873.75</v>
      </c>
      <c r="AQ26" s="33">
        <v>3</v>
      </c>
      <c r="AR26" s="33">
        <v>2</v>
      </c>
      <c r="AS26" s="26">
        <v>0.66666666666666663</v>
      </c>
      <c r="AT26" s="26"/>
      <c r="AU26" s="75">
        <v>2</v>
      </c>
      <c r="AV26" s="75">
        <v>2</v>
      </c>
      <c r="AW26" s="26">
        <v>1</v>
      </c>
      <c r="AX26" s="35">
        <v>5479</v>
      </c>
      <c r="AY26" s="35">
        <v>364040.3</v>
      </c>
      <c r="AZ26" s="101">
        <v>99</v>
      </c>
      <c r="BA26" s="35">
        <v>5544.98</v>
      </c>
      <c r="BB26" s="33">
        <v>3</v>
      </c>
      <c r="BC26" s="33">
        <v>1</v>
      </c>
      <c r="BD26" s="26">
        <v>0.33333333333333331</v>
      </c>
      <c r="BE26" s="26"/>
      <c r="BF26" s="99">
        <v>3</v>
      </c>
      <c r="BG26" s="99">
        <v>2</v>
      </c>
      <c r="BH26" s="84">
        <f t="shared" ref="BH26:BH38" si="3">BG26/BF26</f>
        <v>0.66666666666666663</v>
      </c>
      <c r="BI26" s="100">
        <v>4350</v>
      </c>
      <c r="BJ26" s="91">
        <v>314798.89</v>
      </c>
      <c r="BK26" s="100">
        <v>57</v>
      </c>
      <c r="BL26" s="91">
        <v>3936.5200000000004</v>
      </c>
      <c r="BM26" s="99">
        <v>1</v>
      </c>
      <c r="BN26" s="99">
        <v>1</v>
      </c>
      <c r="BO26" s="84">
        <f t="shared" ref="BO26:BO38" si="4">BN26/BM26</f>
        <v>1</v>
      </c>
      <c r="BP26" s="159" t="str">
        <f t="shared" si="0"/>
        <v>OK</v>
      </c>
      <c r="BQ26" s="226" t="s">
        <v>33</v>
      </c>
      <c r="BR26" s="227">
        <v>1</v>
      </c>
    </row>
    <row r="27" spans="1:70" x14ac:dyDescent="0.25">
      <c r="A27" s="16" t="s">
        <v>10</v>
      </c>
      <c r="B27" s="33">
        <v>6</v>
      </c>
      <c r="C27" s="33">
        <v>5</v>
      </c>
      <c r="D27" s="26">
        <v>0.83333333333333337</v>
      </c>
      <c r="E27" s="26"/>
      <c r="F27" s="33">
        <v>6</v>
      </c>
      <c r="G27" s="33">
        <v>4</v>
      </c>
      <c r="H27" s="26">
        <v>0.66666666666666663</v>
      </c>
      <c r="I27" s="44">
        <v>9164</v>
      </c>
      <c r="J27" s="35">
        <v>889484.16</v>
      </c>
      <c r="K27" s="44">
        <v>24</v>
      </c>
      <c r="L27" s="35">
        <v>11613.5</v>
      </c>
      <c r="M27" s="33">
        <v>21</v>
      </c>
      <c r="N27" s="33">
        <v>8</v>
      </c>
      <c r="O27" s="26">
        <v>0.38095238095238093</v>
      </c>
      <c r="P27" s="26"/>
      <c r="Q27" s="33">
        <v>6</v>
      </c>
      <c r="R27" s="33">
        <v>6</v>
      </c>
      <c r="S27" s="26">
        <v>1</v>
      </c>
      <c r="T27" s="44">
        <v>8122</v>
      </c>
      <c r="U27" s="35">
        <v>1011391.63</v>
      </c>
      <c r="V27" s="44">
        <v>5</v>
      </c>
      <c r="W27" s="35">
        <v>119</v>
      </c>
      <c r="X27" s="26"/>
      <c r="Y27" s="75">
        <v>6</v>
      </c>
      <c r="Z27" s="75">
        <v>4</v>
      </c>
      <c r="AA27" s="26">
        <v>0.66666666666666663</v>
      </c>
      <c r="AB27" s="101">
        <v>6573</v>
      </c>
      <c r="AC27" s="35">
        <v>743748.06</v>
      </c>
      <c r="AD27" s="101">
        <v>8</v>
      </c>
      <c r="AE27" s="35">
        <v>4035.8600000000006</v>
      </c>
      <c r="AF27" s="33">
        <v>10</v>
      </c>
      <c r="AG27" s="33">
        <v>2</v>
      </c>
      <c r="AH27" s="26">
        <v>0.2</v>
      </c>
      <c r="AI27" s="26"/>
      <c r="AJ27" s="75">
        <v>4</v>
      </c>
      <c r="AK27" s="75">
        <v>1</v>
      </c>
      <c r="AL27" s="26">
        <v>0.25</v>
      </c>
      <c r="AM27" s="35">
        <v>7948</v>
      </c>
      <c r="AN27" s="35">
        <v>909156.15999999992</v>
      </c>
      <c r="AO27" s="101">
        <v>17</v>
      </c>
      <c r="AP27" s="35">
        <v>7182.1399999999994</v>
      </c>
      <c r="AQ27" s="33">
        <v>4</v>
      </c>
      <c r="AR27" s="33">
        <v>4</v>
      </c>
      <c r="AS27" s="26">
        <v>1</v>
      </c>
      <c r="AT27" s="26"/>
      <c r="AU27" s="75">
        <v>3</v>
      </c>
      <c r="AV27" s="75">
        <v>2</v>
      </c>
      <c r="AW27" s="26">
        <v>0.66666666666666663</v>
      </c>
      <c r="AX27" s="35">
        <v>8249</v>
      </c>
      <c r="AY27" s="35">
        <v>1157248.83</v>
      </c>
      <c r="AZ27" s="101">
        <v>16</v>
      </c>
      <c r="BA27" s="35">
        <v>7849.8</v>
      </c>
      <c r="BB27" s="33">
        <v>4</v>
      </c>
      <c r="BC27" s="33">
        <v>4</v>
      </c>
      <c r="BD27" s="26">
        <v>1</v>
      </c>
      <c r="BE27" s="26"/>
      <c r="BF27" s="99">
        <v>3</v>
      </c>
      <c r="BG27" s="99">
        <v>3</v>
      </c>
      <c r="BH27" s="84">
        <f t="shared" si="3"/>
        <v>1</v>
      </c>
      <c r="BI27" s="100">
        <v>5973</v>
      </c>
      <c r="BJ27" s="91">
        <v>773120.49</v>
      </c>
      <c r="BK27" s="100">
        <v>4</v>
      </c>
      <c r="BL27" s="91">
        <v>1971.19</v>
      </c>
      <c r="BM27" s="99">
        <v>7</v>
      </c>
      <c r="BN27" s="99">
        <v>6</v>
      </c>
      <c r="BO27" s="84">
        <f t="shared" si="4"/>
        <v>0.8571428571428571</v>
      </c>
      <c r="BP27" s="159" t="str">
        <f t="shared" si="0"/>
        <v>OK</v>
      </c>
      <c r="BQ27" s="226" t="s">
        <v>10</v>
      </c>
      <c r="BR27" s="227">
        <v>6</v>
      </c>
    </row>
    <row r="28" spans="1:70" x14ac:dyDescent="0.25">
      <c r="A28" s="16" t="s">
        <v>358</v>
      </c>
      <c r="B28" s="33">
        <v>17</v>
      </c>
      <c r="C28" s="33">
        <v>16</v>
      </c>
      <c r="D28" s="26">
        <v>0.94117647058823528</v>
      </c>
      <c r="E28" s="26"/>
      <c r="F28" s="33">
        <v>15</v>
      </c>
      <c r="G28" s="33">
        <v>13</v>
      </c>
      <c r="H28" s="26">
        <v>0.8666666666666667</v>
      </c>
      <c r="I28" s="44">
        <v>6839</v>
      </c>
      <c r="J28" s="35">
        <v>2481622.7999999998</v>
      </c>
      <c r="K28" s="44">
        <v>234</v>
      </c>
      <c r="L28" s="35">
        <v>88637.5</v>
      </c>
      <c r="M28" s="33">
        <v>21</v>
      </c>
      <c r="N28" s="33">
        <v>13</v>
      </c>
      <c r="O28" s="26">
        <v>0.61904761904761907</v>
      </c>
      <c r="P28" s="26"/>
      <c r="Q28" s="33">
        <v>11</v>
      </c>
      <c r="R28" s="33">
        <v>11</v>
      </c>
      <c r="S28" s="26">
        <v>1</v>
      </c>
      <c r="T28" s="44">
        <v>5430</v>
      </c>
      <c r="U28" s="35">
        <v>2853738.8000000003</v>
      </c>
      <c r="V28" s="44">
        <v>346</v>
      </c>
      <c r="W28" s="35">
        <v>105687.44</v>
      </c>
      <c r="X28" s="26"/>
      <c r="Y28" s="75">
        <v>11</v>
      </c>
      <c r="Z28" s="75">
        <v>11</v>
      </c>
      <c r="AA28" s="26">
        <v>1</v>
      </c>
      <c r="AB28" s="101">
        <v>6008</v>
      </c>
      <c r="AC28" s="35">
        <v>3084793.48</v>
      </c>
      <c r="AD28" s="101">
        <v>325</v>
      </c>
      <c r="AE28" s="35">
        <v>128165.02</v>
      </c>
      <c r="AF28" s="33">
        <v>29</v>
      </c>
      <c r="AG28" s="33">
        <v>24</v>
      </c>
      <c r="AH28" s="26">
        <v>0.82758620689655171</v>
      </c>
      <c r="AI28" s="26"/>
      <c r="AJ28" s="75">
        <v>10</v>
      </c>
      <c r="AK28" s="75">
        <v>9</v>
      </c>
      <c r="AL28" s="26">
        <v>0.9</v>
      </c>
      <c r="AM28" s="35">
        <v>5573</v>
      </c>
      <c r="AN28" s="35">
        <v>2237373.91</v>
      </c>
      <c r="AO28" s="101">
        <v>411</v>
      </c>
      <c r="AP28" s="35">
        <v>110628.01000000001</v>
      </c>
      <c r="AQ28" s="33">
        <v>31</v>
      </c>
      <c r="AR28" s="33">
        <v>31</v>
      </c>
      <c r="AS28" s="26">
        <v>1</v>
      </c>
      <c r="AT28" s="26"/>
      <c r="AU28" s="75">
        <v>8</v>
      </c>
      <c r="AV28" s="75">
        <v>8</v>
      </c>
      <c r="AW28" s="26">
        <v>1</v>
      </c>
      <c r="AX28" s="35">
        <v>5047</v>
      </c>
      <c r="AY28" s="35">
        <v>3355326.74</v>
      </c>
      <c r="AZ28" s="101">
        <v>234</v>
      </c>
      <c r="BA28" s="35">
        <v>119232.5</v>
      </c>
      <c r="BB28" s="33">
        <v>26</v>
      </c>
      <c r="BC28" s="33">
        <v>24</v>
      </c>
      <c r="BD28" s="26">
        <v>0.92307692307692313</v>
      </c>
      <c r="BE28" s="26"/>
      <c r="BF28" s="99">
        <v>8</v>
      </c>
      <c r="BG28" s="99">
        <v>8</v>
      </c>
      <c r="BH28" s="84">
        <f t="shared" si="3"/>
        <v>1</v>
      </c>
      <c r="BI28" s="100">
        <v>3840</v>
      </c>
      <c r="BJ28" s="91">
        <v>2157355.77</v>
      </c>
      <c r="BK28" s="100">
        <v>438</v>
      </c>
      <c r="BL28" s="91">
        <v>208106.95</v>
      </c>
      <c r="BM28" s="99">
        <v>19</v>
      </c>
      <c r="BN28" s="99">
        <v>19</v>
      </c>
      <c r="BO28" s="84">
        <f t="shared" si="4"/>
        <v>1</v>
      </c>
      <c r="BP28" s="159" t="str">
        <f t="shared" si="0"/>
        <v>OK</v>
      </c>
      <c r="BQ28" s="226" t="s">
        <v>358</v>
      </c>
      <c r="BR28" s="227">
        <v>19</v>
      </c>
    </row>
    <row r="29" spans="1:70" x14ac:dyDescent="0.25">
      <c r="A29" s="16" t="s">
        <v>190</v>
      </c>
      <c r="B29" s="33">
        <v>3</v>
      </c>
      <c r="C29" s="33">
        <v>2</v>
      </c>
      <c r="D29" s="26">
        <v>0.66666666666666663</v>
      </c>
      <c r="E29" s="26"/>
      <c r="F29" s="33">
        <v>3</v>
      </c>
      <c r="G29" s="33">
        <v>3</v>
      </c>
      <c r="H29" s="26">
        <v>1</v>
      </c>
      <c r="I29" s="44">
        <v>820</v>
      </c>
      <c r="J29" s="35">
        <v>40853</v>
      </c>
      <c r="K29" s="44">
        <v>23</v>
      </c>
      <c r="L29" s="35">
        <v>975</v>
      </c>
      <c r="M29" s="33">
        <v>1</v>
      </c>
      <c r="N29" s="33">
        <v>0</v>
      </c>
      <c r="O29" s="26">
        <v>0</v>
      </c>
      <c r="P29" s="26"/>
      <c r="Q29" s="33">
        <v>3</v>
      </c>
      <c r="R29" s="33">
        <v>2</v>
      </c>
      <c r="S29" s="26">
        <v>0.66666666666666663</v>
      </c>
      <c r="T29" s="44">
        <v>727</v>
      </c>
      <c r="U29" s="35">
        <v>40771.879999999997</v>
      </c>
      <c r="V29" s="44">
        <v>32</v>
      </c>
      <c r="W29" s="35">
        <v>1574</v>
      </c>
      <c r="X29" s="26"/>
      <c r="Y29" s="75">
        <v>4</v>
      </c>
      <c r="Z29" s="75">
        <v>4</v>
      </c>
      <c r="AA29" s="26">
        <v>1</v>
      </c>
      <c r="AB29" s="101">
        <v>1076</v>
      </c>
      <c r="AC29" s="35">
        <v>89664.72</v>
      </c>
      <c r="AD29" s="101">
        <v>86</v>
      </c>
      <c r="AE29" s="35">
        <v>7271.98</v>
      </c>
      <c r="AF29" s="33">
        <v>2</v>
      </c>
      <c r="AG29" s="33">
        <v>1</v>
      </c>
      <c r="AH29" s="26">
        <v>0.5</v>
      </c>
      <c r="AI29" s="26"/>
      <c r="AJ29" s="75">
        <v>4</v>
      </c>
      <c r="AK29" s="75">
        <v>4</v>
      </c>
      <c r="AL29" s="26">
        <v>1</v>
      </c>
      <c r="AM29" s="35">
        <v>987</v>
      </c>
      <c r="AN29" s="35">
        <v>146036.88</v>
      </c>
      <c r="AO29" s="101">
        <v>111</v>
      </c>
      <c r="AP29" s="35">
        <v>10710</v>
      </c>
      <c r="AQ29" s="33">
        <v>2</v>
      </c>
      <c r="AR29" s="33">
        <v>1</v>
      </c>
      <c r="AS29" s="26">
        <v>0.5</v>
      </c>
      <c r="AT29" s="26"/>
      <c r="AU29" s="75">
        <v>5</v>
      </c>
      <c r="AV29" s="75">
        <v>5</v>
      </c>
      <c r="AW29" s="26">
        <v>1</v>
      </c>
      <c r="AX29" s="35">
        <v>1391</v>
      </c>
      <c r="AY29" s="35">
        <v>225317.15</v>
      </c>
      <c r="AZ29" s="101">
        <v>99</v>
      </c>
      <c r="BA29" s="35">
        <v>8690.9500000000007</v>
      </c>
      <c r="BB29" s="33">
        <v>4</v>
      </c>
      <c r="BC29" s="33">
        <v>3</v>
      </c>
      <c r="BD29" s="26">
        <v>0.75</v>
      </c>
      <c r="BE29" s="26"/>
      <c r="BF29" s="99">
        <v>5</v>
      </c>
      <c r="BG29" s="99">
        <v>5</v>
      </c>
      <c r="BH29" s="84">
        <f t="shared" si="3"/>
        <v>1</v>
      </c>
      <c r="BI29" s="100">
        <v>337</v>
      </c>
      <c r="BJ29" s="91">
        <v>13760.75</v>
      </c>
      <c r="BK29" s="100">
        <v>45</v>
      </c>
      <c r="BL29" s="91">
        <v>2762.25</v>
      </c>
      <c r="BM29" s="99">
        <v>4</v>
      </c>
      <c r="BN29" s="99">
        <v>3</v>
      </c>
      <c r="BO29" s="84">
        <f t="shared" si="4"/>
        <v>0.75</v>
      </c>
      <c r="BP29" s="159" t="str">
        <f t="shared" si="0"/>
        <v>OK</v>
      </c>
      <c r="BQ29" s="226" t="s">
        <v>190</v>
      </c>
      <c r="BR29" s="227">
        <v>3</v>
      </c>
    </row>
    <row r="30" spans="1:70" x14ac:dyDescent="0.25">
      <c r="A30" s="16" t="s">
        <v>11</v>
      </c>
      <c r="B30" s="33">
        <v>20</v>
      </c>
      <c r="C30" s="33">
        <v>17</v>
      </c>
      <c r="D30" s="26">
        <v>0.85</v>
      </c>
      <c r="E30" s="26"/>
      <c r="F30" s="33">
        <v>20</v>
      </c>
      <c r="G30" s="33">
        <v>17</v>
      </c>
      <c r="H30" s="26">
        <v>0.85</v>
      </c>
      <c r="I30" s="44">
        <v>42347</v>
      </c>
      <c r="J30" s="35">
        <v>7775971.5100000007</v>
      </c>
      <c r="K30" s="44">
        <v>403</v>
      </c>
      <c r="L30" s="35">
        <v>141599.6</v>
      </c>
      <c r="M30" s="33">
        <v>24</v>
      </c>
      <c r="N30" s="33">
        <v>14</v>
      </c>
      <c r="O30" s="26">
        <v>0.58333333333333337</v>
      </c>
      <c r="P30" s="26"/>
      <c r="Q30" s="33">
        <v>20</v>
      </c>
      <c r="R30" s="33">
        <v>18</v>
      </c>
      <c r="S30" s="26">
        <v>0.9</v>
      </c>
      <c r="T30" s="44">
        <v>45516</v>
      </c>
      <c r="U30" s="35">
        <v>8735092.589999998</v>
      </c>
      <c r="V30" s="44">
        <v>468</v>
      </c>
      <c r="W30" s="35">
        <v>157817.44</v>
      </c>
      <c r="X30" s="26"/>
      <c r="Y30" s="75">
        <v>21</v>
      </c>
      <c r="Z30" s="75">
        <v>12</v>
      </c>
      <c r="AA30" s="26">
        <v>0.5714285714285714</v>
      </c>
      <c r="AB30" s="101">
        <v>45481</v>
      </c>
      <c r="AC30" s="35">
        <v>8893953.8100000005</v>
      </c>
      <c r="AD30" s="101">
        <v>476</v>
      </c>
      <c r="AE30" s="35">
        <v>201449.68000000002</v>
      </c>
      <c r="AF30" s="33">
        <v>48</v>
      </c>
      <c r="AG30" s="33">
        <v>39</v>
      </c>
      <c r="AH30" s="26">
        <v>0.8125</v>
      </c>
      <c r="AI30" s="26"/>
      <c r="AJ30" s="75">
        <v>26</v>
      </c>
      <c r="AK30" s="75">
        <v>25</v>
      </c>
      <c r="AL30" s="26">
        <v>0.96153846153846156</v>
      </c>
      <c r="AM30" s="35">
        <v>45119</v>
      </c>
      <c r="AN30" s="35">
        <v>9418115.8600000013</v>
      </c>
      <c r="AO30" s="101">
        <v>435</v>
      </c>
      <c r="AP30" s="35">
        <v>201855.88999999998</v>
      </c>
      <c r="AQ30" s="33">
        <v>49</v>
      </c>
      <c r="AR30" s="33">
        <v>36</v>
      </c>
      <c r="AS30" s="26">
        <v>0.73469387755102045</v>
      </c>
      <c r="AT30" s="26"/>
      <c r="AU30" s="75">
        <v>26</v>
      </c>
      <c r="AV30" s="75">
        <v>25</v>
      </c>
      <c r="AW30" s="26">
        <v>0.96153846153846156</v>
      </c>
      <c r="AX30" s="35">
        <v>44713</v>
      </c>
      <c r="AY30" s="35">
        <v>9262017.6899999995</v>
      </c>
      <c r="AZ30" s="101">
        <v>192</v>
      </c>
      <c r="BA30" s="35">
        <v>82130.98</v>
      </c>
      <c r="BB30" s="33">
        <v>53</v>
      </c>
      <c r="BC30" s="33">
        <v>43</v>
      </c>
      <c r="BD30" s="26">
        <v>0.81132075471698117</v>
      </c>
      <c r="BE30" s="26"/>
      <c r="BF30" s="99">
        <v>27</v>
      </c>
      <c r="BG30" s="99">
        <v>21</v>
      </c>
      <c r="BH30" s="84">
        <f t="shared" si="3"/>
        <v>0.77777777777777779</v>
      </c>
      <c r="BI30" s="100">
        <v>35308</v>
      </c>
      <c r="BJ30" s="91">
        <v>7370629.379999999</v>
      </c>
      <c r="BK30" s="100">
        <v>921</v>
      </c>
      <c r="BL30" s="91">
        <v>267769.18</v>
      </c>
      <c r="BM30" s="99">
        <v>53</v>
      </c>
      <c r="BN30" s="99">
        <v>47</v>
      </c>
      <c r="BO30" s="84">
        <f t="shared" si="4"/>
        <v>0.8867924528301887</v>
      </c>
      <c r="BP30" s="159" t="str">
        <f t="shared" si="0"/>
        <v>OK</v>
      </c>
      <c r="BQ30" s="226" t="s">
        <v>11</v>
      </c>
      <c r="BR30" s="227">
        <v>47</v>
      </c>
    </row>
    <row r="31" spans="1:70" x14ac:dyDescent="0.25">
      <c r="A31" s="16" t="s">
        <v>12</v>
      </c>
      <c r="B31" s="33">
        <v>2</v>
      </c>
      <c r="C31" s="33">
        <v>2</v>
      </c>
      <c r="D31" s="26">
        <v>1</v>
      </c>
      <c r="E31" s="26"/>
      <c r="F31" s="33">
        <v>1</v>
      </c>
      <c r="G31" s="33">
        <v>1</v>
      </c>
      <c r="H31" s="26">
        <v>1</v>
      </c>
      <c r="I31" s="44">
        <v>193</v>
      </c>
      <c r="J31" s="35">
        <v>15746.83</v>
      </c>
      <c r="K31" s="44">
        <v>6</v>
      </c>
      <c r="L31" s="35">
        <v>1399.92</v>
      </c>
      <c r="M31" s="33">
        <v>2</v>
      </c>
      <c r="N31" s="33">
        <v>2</v>
      </c>
      <c r="O31" s="26">
        <v>1</v>
      </c>
      <c r="P31" s="26"/>
      <c r="Q31" s="33">
        <v>1</v>
      </c>
      <c r="R31" s="33">
        <v>1</v>
      </c>
      <c r="S31" s="26">
        <v>1</v>
      </c>
      <c r="T31" s="44">
        <v>181</v>
      </c>
      <c r="U31" s="35">
        <v>11337.86</v>
      </c>
      <c r="V31" s="44">
        <v>1</v>
      </c>
      <c r="W31" s="35">
        <v>24.99</v>
      </c>
      <c r="X31" s="26"/>
      <c r="Y31" s="75">
        <v>2</v>
      </c>
      <c r="Z31" s="75">
        <v>2</v>
      </c>
      <c r="AA31" s="26">
        <v>1</v>
      </c>
      <c r="AB31" s="101">
        <v>90</v>
      </c>
      <c r="AC31" s="35">
        <v>16910.2</v>
      </c>
      <c r="AD31" s="101">
        <v>2</v>
      </c>
      <c r="AE31" s="35">
        <v>60.1</v>
      </c>
      <c r="AF31" s="33">
        <v>2</v>
      </c>
      <c r="AG31" s="33">
        <v>2</v>
      </c>
      <c r="AH31" s="26">
        <v>1</v>
      </c>
      <c r="AI31" s="26"/>
      <c r="AJ31" s="75">
        <v>3</v>
      </c>
      <c r="AK31" s="75">
        <v>2</v>
      </c>
      <c r="AL31" s="26">
        <v>0.66666666666666663</v>
      </c>
      <c r="AM31" s="35">
        <v>290</v>
      </c>
      <c r="AN31" s="35">
        <v>37278.229999999996</v>
      </c>
      <c r="AO31" s="101">
        <v>8</v>
      </c>
      <c r="AP31" s="35">
        <v>1495.15</v>
      </c>
      <c r="AQ31" s="33">
        <v>2</v>
      </c>
      <c r="AR31" s="33">
        <v>1</v>
      </c>
      <c r="AS31" s="26">
        <v>0.5</v>
      </c>
      <c r="AT31" s="26"/>
      <c r="AU31" s="75">
        <v>3</v>
      </c>
      <c r="AV31" s="75">
        <v>3</v>
      </c>
      <c r="AW31" s="26">
        <v>1</v>
      </c>
      <c r="AX31" s="35">
        <v>252</v>
      </c>
      <c r="AY31" s="35">
        <v>55780.49</v>
      </c>
      <c r="AZ31" s="101">
        <v>8</v>
      </c>
      <c r="BA31" s="35">
        <v>2400</v>
      </c>
      <c r="BB31" s="33">
        <v>2</v>
      </c>
      <c r="BC31" s="33">
        <v>2</v>
      </c>
      <c r="BD31" s="26">
        <v>1</v>
      </c>
      <c r="BE31" s="26"/>
      <c r="BF31" s="99">
        <v>3</v>
      </c>
      <c r="BG31" s="99">
        <v>3</v>
      </c>
      <c r="BH31" s="84">
        <f t="shared" si="3"/>
        <v>1</v>
      </c>
      <c r="BI31" s="100">
        <v>419</v>
      </c>
      <c r="BJ31" s="91">
        <v>71134.98</v>
      </c>
      <c r="BK31" s="100">
        <v>30</v>
      </c>
      <c r="BL31" s="91">
        <v>12500</v>
      </c>
      <c r="BM31" s="99">
        <v>3</v>
      </c>
      <c r="BN31" s="99">
        <v>3</v>
      </c>
      <c r="BO31" s="84">
        <f t="shared" si="4"/>
        <v>1</v>
      </c>
      <c r="BP31" s="159" t="str">
        <f t="shared" si="0"/>
        <v>OK</v>
      </c>
      <c r="BQ31" s="226" t="s">
        <v>12</v>
      </c>
      <c r="BR31" s="227">
        <v>3</v>
      </c>
    </row>
    <row r="32" spans="1:70" x14ac:dyDescent="0.25">
      <c r="A32" s="16" t="s">
        <v>13</v>
      </c>
      <c r="B32" s="33">
        <v>2</v>
      </c>
      <c r="C32" s="33">
        <v>2</v>
      </c>
      <c r="D32" s="26">
        <v>1</v>
      </c>
      <c r="E32" s="26"/>
      <c r="F32" s="33">
        <v>3</v>
      </c>
      <c r="G32" s="33">
        <v>3</v>
      </c>
      <c r="H32" s="26">
        <v>1</v>
      </c>
      <c r="I32" s="44">
        <v>118</v>
      </c>
      <c r="J32" s="35">
        <v>78615.539999999994</v>
      </c>
      <c r="K32" s="44">
        <v>3</v>
      </c>
      <c r="L32" s="35">
        <v>722.84</v>
      </c>
      <c r="M32" s="33">
        <v>1</v>
      </c>
      <c r="N32" s="33">
        <v>1</v>
      </c>
      <c r="O32" s="26">
        <v>1</v>
      </c>
      <c r="P32" s="26"/>
      <c r="Q32" s="33">
        <v>4</v>
      </c>
      <c r="R32" s="33">
        <v>4</v>
      </c>
      <c r="S32" s="26">
        <v>1</v>
      </c>
      <c r="T32" s="44">
        <v>270</v>
      </c>
      <c r="U32" s="35">
        <v>137066.33000000002</v>
      </c>
      <c r="V32" s="44">
        <v>6</v>
      </c>
      <c r="W32" s="35">
        <v>2780</v>
      </c>
      <c r="X32" s="26"/>
      <c r="Y32" s="75">
        <v>4</v>
      </c>
      <c r="Z32" s="75">
        <v>4</v>
      </c>
      <c r="AA32" s="26">
        <v>1</v>
      </c>
      <c r="AB32" s="101">
        <v>175</v>
      </c>
      <c r="AC32" s="35">
        <v>23537.68</v>
      </c>
      <c r="AD32" s="101">
        <v>8</v>
      </c>
      <c r="AE32" s="35">
        <v>1765</v>
      </c>
      <c r="AF32" s="33">
        <v>1</v>
      </c>
      <c r="AG32" s="33">
        <v>1</v>
      </c>
      <c r="AH32" s="26">
        <v>1</v>
      </c>
      <c r="AI32" s="26"/>
      <c r="AJ32" s="75">
        <v>3</v>
      </c>
      <c r="AK32" s="75">
        <v>3</v>
      </c>
      <c r="AL32" s="26">
        <v>1</v>
      </c>
      <c r="AM32" s="35">
        <v>226</v>
      </c>
      <c r="AN32" s="35">
        <v>42571.270000000004</v>
      </c>
      <c r="AO32" s="101">
        <v>18</v>
      </c>
      <c r="AP32" s="35">
        <v>4031.5</v>
      </c>
      <c r="AQ32" s="33">
        <v>1</v>
      </c>
      <c r="AR32" s="33">
        <v>1</v>
      </c>
      <c r="AS32" s="26">
        <v>1</v>
      </c>
      <c r="AT32" s="26"/>
      <c r="AU32" s="75">
        <v>3</v>
      </c>
      <c r="AV32" s="75">
        <v>3</v>
      </c>
      <c r="AW32" s="26">
        <v>1</v>
      </c>
      <c r="AX32" s="35">
        <v>225</v>
      </c>
      <c r="AY32" s="35">
        <v>34371.96</v>
      </c>
      <c r="AZ32" s="101">
        <v>34</v>
      </c>
      <c r="BA32" s="35">
        <v>8376.99</v>
      </c>
      <c r="BB32" s="33">
        <v>1</v>
      </c>
      <c r="BC32" s="33">
        <v>1</v>
      </c>
      <c r="BD32" s="26">
        <v>1</v>
      </c>
      <c r="BE32" s="26"/>
      <c r="BF32" s="99">
        <v>3</v>
      </c>
      <c r="BG32" s="99">
        <v>3</v>
      </c>
      <c r="BH32" s="84">
        <f t="shared" si="3"/>
        <v>1</v>
      </c>
      <c r="BI32" s="100"/>
      <c r="BJ32" s="91"/>
      <c r="BK32" s="100"/>
      <c r="BL32" s="91"/>
      <c r="BM32" s="99">
        <v>1</v>
      </c>
      <c r="BN32" s="99">
        <v>1</v>
      </c>
      <c r="BO32" s="84">
        <f t="shared" si="4"/>
        <v>1</v>
      </c>
      <c r="BP32" s="159" t="str">
        <f t="shared" si="0"/>
        <v>OK</v>
      </c>
      <c r="BQ32" s="226" t="s">
        <v>13</v>
      </c>
      <c r="BR32" s="227">
        <v>1</v>
      </c>
    </row>
    <row r="33" spans="1:70" x14ac:dyDescent="0.25">
      <c r="A33" s="16" t="s">
        <v>14</v>
      </c>
      <c r="B33" s="33">
        <v>4</v>
      </c>
      <c r="C33" s="33">
        <v>4</v>
      </c>
      <c r="D33" s="26">
        <v>1</v>
      </c>
      <c r="E33" s="26"/>
      <c r="F33" s="33">
        <v>3</v>
      </c>
      <c r="G33" s="33">
        <v>2</v>
      </c>
      <c r="H33" s="26">
        <v>0.66666666666666663</v>
      </c>
      <c r="I33" s="44">
        <v>3299</v>
      </c>
      <c r="J33" s="35">
        <v>347970.22000000003</v>
      </c>
      <c r="K33" s="44">
        <v>161</v>
      </c>
      <c r="L33" s="35">
        <v>16512</v>
      </c>
      <c r="M33" s="33">
        <v>10</v>
      </c>
      <c r="N33" s="33">
        <v>8</v>
      </c>
      <c r="O33" s="26">
        <v>0.8</v>
      </c>
      <c r="P33" s="26"/>
      <c r="Q33" s="33">
        <v>5</v>
      </c>
      <c r="R33" s="33">
        <v>5</v>
      </c>
      <c r="S33" s="26">
        <v>1</v>
      </c>
      <c r="T33" s="44">
        <v>2204</v>
      </c>
      <c r="U33" s="35">
        <v>176774</v>
      </c>
      <c r="V33" s="44">
        <v>124</v>
      </c>
      <c r="W33" s="35">
        <v>11529</v>
      </c>
      <c r="X33" s="26"/>
      <c r="Y33" s="75">
        <v>2</v>
      </c>
      <c r="Z33" s="75">
        <v>2</v>
      </c>
      <c r="AA33" s="26">
        <v>1</v>
      </c>
      <c r="AB33" s="101">
        <v>1445</v>
      </c>
      <c r="AC33" s="35">
        <v>111471</v>
      </c>
      <c r="AD33" s="101">
        <v>151</v>
      </c>
      <c r="AE33" s="35">
        <v>15625</v>
      </c>
      <c r="AF33" s="33">
        <v>1</v>
      </c>
      <c r="AG33" s="33">
        <v>1</v>
      </c>
      <c r="AH33" s="26">
        <v>1</v>
      </c>
      <c r="AI33" s="26"/>
      <c r="AJ33" s="75">
        <v>3</v>
      </c>
      <c r="AK33" s="75">
        <v>3</v>
      </c>
      <c r="AL33" s="26">
        <v>1</v>
      </c>
      <c r="AM33" s="35">
        <v>1586</v>
      </c>
      <c r="AN33" s="35">
        <v>129021</v>
      </c>
      <c r="AO33" s="101">
        <v>172</v>
      </c>
      <c r="AP33" s="35">
        <v>16645</v>
      </c>
      <c r="AQ33" s="33">
        <v>1</v>
      </c>
      <c r="AR33" s="33">
        <v>1</v>
      </c>
      <c r="AS33" s="26">
        <v>1</v>
      </c>
      <c r="AT33" s="26"/>
      <c r="AU33" s="75">
        <v>3</v>
      </c>
      <c r="AV33" s="75">
        <v>3</v>
      </c>
      <c r="AW33" s="26">
        <v>1</v>
      </c>
      <c r="AX33" s="35">
        <v>1556</v>
      </c>
      <c r="AY33" s="35">
        <v>146262.48000000001</v>
      </c>
      <c r="AZ33" s="101">
        <v>132</v>
      </c>
      <c r="BA33" s="35">
        <v>15387.52</v>
      </c>
      <c r="BB33" s="33">
        <v>1</v>
      </c>
      <c r="BC33" s="33">
        <v>1</v>
      </c>
      <c r="BD33" s="26">
        <v>1</v>
      </c>
      <c r="BE33" s="26"/>
      <c r="BF33" s="99">
        <v>2</v>
      </c>
      <c r="BG33" s="99">
        <v>2</v>
      </c>
      <c r="BH33" s="84">
        <f t="shared" si="3"/>
        <v>1</v>
      </c>
      <c r="BI33" s="100">
        <v>1656</v>
      </c>
      <c r="BJ33" s="91">
        <v>129572.43</v>
      </c>
      <c r="BK33" s="100">
        <v>559</v>
      </c>
      <c r="BL33" s="91">
        <v>55089.61</v>
      </c>
      <c r="BM33" s="99">
        <v>1</v>
      </c>
      <c r="BN33" s="99">
        <v>1</v>
      </c>
      <c r="BO33" s="84">
        <f t="shared" si="4"/>
        <v>1</v>
      </c>
      <c r="BP33" s="159" t="str">
        <f t="shared" si="0"/>
        <v>OK</v>
      </c>
      <c r="BQ33" s="226" t="s">
        <v>14</v>
      </c>
      <c r="BR33" s="227">
        <v>1</v>
      </c>
    </row>
    <row r="34" spans="1:70" x14ac:dyDescent="0.25">
      <c r="A34" s="16" t="s">
        <v>15</v>
      </c>
      <c r="B34" s="33">
        <v>5</v>
      </c>
      <c r="C34" s="33">
        <v>4</v>
      </c>
      <c r="D34" s="26">
        <v>0.8</v>
      </c>
      <c r="E34" s="26"/>
      <c r="F34" s="33">
        <v>6</v>
      </c>
      <c r="G34" s="33">
        <v>5</v>
      </c>
      <c r="H34" s="26">
        <v>0.83333333333333337</v>
      </c>
      <c r="I34" s="44">
        <v>3575</v>
      </c>
      <c r="J34" s="35">
        <v>590731.44999999995</v>
      </c>
      <c r="K34" s="44">
        <v>29</v>
      </c>
      <c r="L34" s="35">
        <v>7622.4</v>
      </c>
      <c r="M34" s="33">
        <v>1</v>
      </c>
      <c r="N34" s="33">
        <v>1</v>
      </c>
      <c r="O34" s="26">
        <v>1</v>
      </c>
      <c r="P34" s="26"/>
      <c r="Q34" s="33">
        <v>7</v>
      </c>
      <c r="R34" s="33">
        <v>7</v>
      </c>
      <c r="S34" s="26">
        <v>1</v>
      </c>
      <c r="T34" s="44">
        <v>4544</v>
      </c>
      <c r="U34" s="35">
        <v>939042.9</v>
      </c>
      <c r="V34" s="44">
        <v>15</v>
      </c>
      <c r="W34" s="35">
        <v>4430.34</v>
      </c>
      <c r="X34" s="26"/>
      <c r="Y34" s="75">
        <v>8</v>
      </c>
      <c r="Z34" s="75">
        <v>8</v>
      </c>
      <c r="AA34" s="26">
        <v>1</v>
      </c>
      <c r="AB34" s="101">
        <v>5177</v>
      </c>
      <c r="AC34" s="35">
        <v>1062448.97</v>
      </c>
      <c r="AD34" s="101">
        <v>11</v>
      </c>
      <c r="AE34" s="35">
        <v>2000.94</v>
      </c>
      <c r="AF34" s="33">
        <v>11</v>
      </c>
      <c r="AG34" s="33">
        <v>3</v>
      </c>
      <c r="AH34" s="26">
        <v>0.27272727272727271</v>
      </c>
      <c r="AI34" s="26"/>
      <c r="AJ34" s="75">
        <v>9</v>
      </c>
      <c r="AK34" s="75">
        <v>8</v>
      </c>
      <c r="AL34" s="26">
        <v>0.88888888888888884</v>
      </c>
      <c r="AM34" s="35">
        <v>7214</v>
      </c>
      <c r="AN34" s="35">
        <v>1195281.6599999999</v>
      </c>
      <c r="AO34" s="101">
        <v>40</v>
      </c>
      <c r="AP34" s="35">
        <v>8691.43</v>
      </c>
      <c r="AQ34" s="33">
        <v>11</v>
      </c>
      <c r="AR34" s="33">
        <v>2</v>
      </c>
      <c r="AS34" s="26">
        <v>0.18181818181818182</v>
      </c>
      <c r="AT34" s="26"/>
      <c r="AU34" s="75">
        <v>12</v>
      </c>
      <c r="AV34" s="75">
        <v>10</v>
      </c>
      <c r="AW34" s="26">
        <v>0.83333333333333337</v>
      </c>
      <c r="AX34" s="35">
        <v>7001</v>
      </c>
      <c r="AY34" s="35">
        <v>1348167.3499999999</v>
      </c>
      <c r="AZ34" s="101">
        <v>66</v>
      </c>
      <c r="BA34" s="35">
        <v>22408.080000000002</v>
      </c>
      <c r="BB34" s="33">
        <v>9</v>
      </c>
      <c r="BC34" s="33">
        <v>3</v>
      </c>
      <c r="BD34" s="26">
        <v>0.33333333333333331</v>
      </c>
      <c r="BE34" s="26"/>
      <c r="BF34" s="99">
        <v>12</v>
      </c>
      <c r="BG34" s="99">
        <v>12</v>
      </c>
      <c r="BH34" s="84">
        <f t="shared" si="3"/>
        <v>1</v>
      </c>
      <c r="BI34" s="100">
        <v>5826</v>
      </c>
      <c r="BJ34" s="91">
        <v>763302.6</v>
      </c>
      <c r="BK34" s="100">
        <v>6</v>
      </c>
      <c r="BL34" s="91">
        <v>2392.7799999999997</v>
      </c>
      <c r="BM34" s="99">
        <v>9</v>
      </c>
      <c r="BN34" s="99">
        <v>3</v>
      </c>
      <c r="BO34" s="84">
        <f t="shared" si="4"/>
        <v>0.33333333333333331</v>
      </c>
      <c r="BP34" s="159" t="str">
        <f t="shared" si="0"/>
        <v>No</v>
      </c>
      <c r="BQ34" s="226" t="s">
        <v>359</v>
      </c>
      <c r="BR34" s="227">
        <v>3</v>
      </c>
    </row>
    <row r="35" spans="1:70" x14ac:dyDescent="0.25">
      <c r="A35" s="16" t="s">
        <v>16</v>
      </c>
      <c r="B35" s="33">
        <v>1</v>
      </c>
      <c r="C35" s="33">
        <v>1</v>
      </c>
      <c r="D35" s="26">
        <v>1</v>
      </c>
      <c r="E35" s="26"/>
      <c r="F35" s="33">
        <v>1</v>
      </c>
      <c r="G35" s="33">
        <v>1</v>
      </c>
      <c r="H35" s="26">
        <v>1</v>
      </c>
      <c r="I35" s="44">
        <v>23</v>
      </c>
      <c r="J35" s="35">
        <v>26998</v>
      </c>
      <c r="K35" s="44">
        <v>0</v>
      </c>
      <c r="L35" s="35">
        <v>0</v>
      </c>
      <c r="M35" s="33">
        <v>3</v>
      </c>
      <c r="N35" s="33">
        <v>0</v>
      </c>
      <c r="O35" s="26">
        <v>0</v>
      </c>
      <c r="P35" s="26"/>
      <c r="Q35" s="33">
        <v>2</v>
      </c>
      <c r="R35" s="33">
        <v>2</v>
      </c>
      <c r="S35" s="26">
        <v>1</v>
      </c>
      <c r="T35" s="44">
        <v>73</v>
      </c>
      <c r="U35" s="35">
        <v>20500</v>
      </c>
      <c r="V35" s="44">
        <v>4</v>
      </c>
      <c r="W35" s="35">
        <v>675</v>
      </c>
      <c r="X35" s="26"/>
      <c r="Y35" s="75">
        <v>2</v>
      </c>
      <c r="Z35" s="75">
        <v>2</v>
      </c>
      <c r="AA35" s="26">
        <v>1</v>
      </c>
      <c r="AB35" s="101">
        <v>291</v>
      </c>
      <c r="AC35" s="35">
        <v>19233.059999999998</v>
      </c>
      <c r="AD35" s="101">
        <v>7</v>
      </c>
      <c r="AE35" s="35">
        <v>174.2</v>
      </c>
      <c r="AF35" s="33">
        <v>2</v>
      </c>
      <c r="AG35" s="33">
        <v>1</v>
      </c>
      <c r="AH35" s="26">
        <v>0.5</v>
      </c>
      <c r="AI35" s="26"/>
      <c r="AJ35" s="75">
        <v>3</v>
      </c>
      <c r="AK35" s="75">
        <v>3</v>
      </c>
      <c r="AL35" s="26">
        <v>1</v>
      </c>
      <c r="AM35" s="35">
        <v>407</v>
      </c>
      <c r="AN35" s="35">
        <v>70823.820000000007</v>
      </c>
      <c r="AO35" s="101">
        <v>6</v>
      </c>
      <c r="AP35" s="35">
        <v>580</v>
      </c>
      <c r="AQ35" s="33">
        <v>2</v>
      </c>
      <c r="AR35" s="33">
        <v>2</v>
      </c>
      <c r="AS35" s="26">
        <v>1</v>
      </c>
      <c r="AT35" s="26"/>
      <c r="AU35" s="75">
        <v>3</v>
      </c>
      <c r="AV35" s="75">
        <v>3</v>
      </c>
      <c r="AW35" s="26">
        <v>1</v>
      </c>
      <c r="AX35" s="35">
        <v>57</v>
      </c>
      <c r="AY35" s="35">
        <v>25247.32</v>
      </c>
      <c r="AZ35" s="101">
        <v>7</v>
      </c>
      <c r="BA35" s="35">
        <v>2800</v>
      </c>
      <c r="BB35" s="33">
        <v>1</v>
      </c>
      <c r="BC35" s="33">
        <v>1</v>
      </c>
      <c r="BD35" s="26">
        <v>1</v>
      </c>
      <c r="BE35" s="26"/>
      <c r="BF35" s="99">
        <v>2</v>
      </c>
      <c r="BG35" s="99">
        <v>2</v>
      </c>
      <c r="BH35" s="84">
        <f t="shared" si="3"/>
        <v>1</v>
      </c>
      <c r="BI35" s="100">
        <v>29</v>
      </c>
      <c r="BJ35" s="91">
        <v>4808.41</v>
      </c>
      <c r="BK35" s="100">
        <v>14</v>
      </c>
      <c r="BL35" s="91">
        <v>3308.41</v>
      </c>
      <c r="BM35" s="99">
        <v>2</v>
      </c>
      <c r="BN35" s="99">
        <v>2</v>
      </c>
      <c r="BO35" s="84">
        <f t="shared" si="4"/>
        <v>1</v>
      </c>
      <c r="BP35" s="159" t="str">
        <f t="shared" si="0"/>
        <v>OK</v>
      </c>
      <c r="BQ35" s="226" t="s">
        <v>16</v>
      </c>
      <c r="BR35" s="227">
        <v>2</v>
      </c>
    </row>
    <row r="36" spans="1:70" x14ac:dyDescent="0.25">
      <c r="A36" s="16" t="s">
        <v>17</v>
      </c>
      <c r="B36" s="33">
        <v>6</v>
      </c>
      <c r="C36" s="33">
        <v>4</v>
      </c>
      <c r="D36" s="26">
        <v>0.66666666666666663</v>
      </c>
      <c r="E36" s="26"/>
      <c r="F36" s="33">
        <v>5</v>
      </c>
      <c r="G36" s="33">
        <v>4</v>
      </c>
      <c r="H36" s="26">
        <v>0.8</v>
      </c>
      <c r="I36" s="44">
        <v>1314</v>
      </c>
      <c r="J36" s="35">
        <v>247982.40000000002</v>
      </c>
      <c r="K36" s="44">
        <v>27</v>
      </c>
      <c r="L36" s="35">
        <v>22699.7</v>
      </c>
      <c r="M36" s="33">
        <v>10</v>
      </c>
      <c r="N36" s="33">
        <v>2</v>
      </c>
      <c r="O36" s="26">
        <v>0.2</v>
      </c>
      <c r="P36" s="26"/>
      <c r="Q36" s="33">
        <v>7</v>
      </c>
      <c r="R36" s="33">
        <v>6</v>
      </c>
      <c r="S36" s="26">
        <v>0.8571428571428571</v>
      </c>
      <c r="T36" s="44">
        <v>1790</v>
      </c>
      <c r="U36" s="35">
        <v>281611.55000000005</v>
      </c>
      <c r="V36" s="44">
        <v>63</v>
      </c>
      <c r="W36" s="35">
        <v>20707.2</v>
      </c>
      <c r="X36" s="26"/>
      <c r="Y36" s="75">
        <v>7</v>
      </c>
      <c r="Z36" s="75">
        <v>5</v>
      </c>
      <c r="AA36" s="26">
        <v>0.7142857142857143</v>
      </c>
      <c r="AB36" s="101">
        <v>1384</v>
      </c>
      <c r="AC36" s="35">
        <v>217101.40000000002</v>
      </c>
      <c r="AD36" s="101">
        <v>20</v>
      </c>
      <c r="AE36" s="35">
        <v>7856.25</v>
      </c>
      <c r="AF36" s="33">
        <v>10</v>
      </c>
      <c r="AG36" s="33">
        <v>4</v>
      </c>
      <c r="AH36" s="26">
        <v>0.4</v>
      </c>
      <c r="AI36" s="26"/>
      <c r="AJ36" s="75">
        <v>7</v>
      </c>
      <c r="AK36" s="75">
        <v>7</v>
      </c>
      <c r="AL36" s="26">
        <v>1</v>
      </c>
      <c r="AM36" s="35">
        <v>2524</v>
      </c>
      <c r="AN36" s="35">
        <v>283645.90000000002</v>
      </c>
      <c r="AO36" s="101">
        <v>63</v>
      </c>
      <c r="AP36" s="35">
        <v>8298</v>
      </c>
      <c r="AQ36" s="33">
        <v>9</v>
      </c>
      <c r="AR36" s="33">
        <v>4</v>
      </c>
      <c r="AS36" s="26">
        <v>0.44444444444444442</v>
      </c>
      <c r="AT36" s="26"/>
      <c r="AU36" s="75">
        <v>7</v>
      </c>
      <c r="AV36" s="75">
        <v>6</v>
      </c>
      <c r="AW36" s="26">
        <v>0.8571428571428571</v>
      </c>
      <c r="AX36" s="35">
        <v>2664</v>
      </c>
      <c r="AY36" s="35">
        <v>232491.5</v>
      </c>
      <c r="AZ36" s="101">
        <v>75</v>
      </c>
      <c r="BA36" s="35">
        <v>16495.599999999999</v>
      </c>
      <c r="BB36" s="33">
        <v>8</v>
      </c>
      <c r="BC36" s="33">
        <v>4</v>
      </c>
      <c r="BD36" s="26">
        <v>0.5</v>
      </c>
      <c r="BE36" s="26"/>
      <c r="BF36" s="99">
        <v>7</v>
      </c>
      <c r="BG36" s="99">
        <v>7</v>
      </c>
      <c r="BH36" s="84">
        <f t="shared" si="3"/>
        <v>1</v>
      </c>
      <c r="BI36" s="100">
        <v>4636</v>
      </c>
      <c r="BJ36" s="91">
        <v>286195.89</v>
      </c>
      <c r="BK36" s="100">
        <v>93</v>
      </c>
      <c r="BL36" s="91">
        <v>20874.7</v>
      </c>
      <c r="BM36" s="99">
        <v>10</v>
      </c>
      <c r="BN36" s="99">
        <v>10</v>
      </c>
      <c r="BO36" s="84">
        <f t="shared" si="4"/>
        <v>1</v>
      </c>
      <c r="BP36" s="159" t="str">
        <f t="shared" si="0"/>
        <v>OK</v>
      </c>
      <c r="BQ36" s="226" t="s">
        <v>17</v>
      </c>
      <c r="BR36" s="227">
        <v>10</v>
      </c>
    </row>
    <row r="37" spans="1:70" x14ac:dyDescent="0.25">
      <c r="A37" s="16" t="s">
        <v>18</v>
      </c>
      <c r="B37" s="33">
        <v>2</v>
      </c>
      <c r="C37" s="33">
        <v>2</v>
      </c>
      <c r="D37" s="26">
        <v>1</v>
      </c>
      <c r="E37" s="26"/>
      <c r="F37" s="33">
        <v>2</v>
      </c>
      <c r="G37" s="33">
        <v>2</v>
      </c>
      <c r="H37" s="26">
        <v>1</v>
      </c>
      <c r="I37" s="44">
        <v>408</v>
      </c>
      <c r="J37" s="35">
        <v>272167.32</v>
      </c>
      <c r="K37" s="44">
        <v>32</v>
      </c>
      <c r="L37" s="35">
        <v>16799.68</v>
      </c>
      <c r="M37" s="33">
        <v>1</v>
      </c>
      <c r="N37" s="33">
        <v>0</v>
      </c>
      <c r="O37" s="26">
        <v>0</v>
      </c>
      <c r="P37" s="26"/>
      <c r="Q37" s="33">
        <v>2</v>
      </c>
      <c r="R37" s="33">
        <v>2</v>
      </c>
      <c r="S37" s="26">
        <v>1</v>
      </c>
      <c r="T37" s="44">
        <v>598</v>
      </c>
      <c r="U37" s="35">
        <v>503196</v>
      </c>
      <c r="V37" s="44">
        <v>24</v>
      </c>
      <c r="W37" s="35">
        <v>13646.5</v>
      </c>
      <c r="X37" s="26"/>
      <c r="Y37" s="75">
        <v>1</v>
      </c>
      <c r="Z37" s="75">
        <v>1</v>
      </c>
      <c r="AA37" s="26">
        <v>1</v>
      </c>
      <c r="AB37" s="101">
        <v>621</v>
      </c>
      <c r="AC37" s="35">
        <v>509856.54</v>
      </c>
      <c r="AD37" s="101">
        <v>42</v>
      </c>
      <c r="AE37" s="35">
        <v>14744.46</v>
      </c>
      <c r="AF37" s="33">
        <v>6</v>
      </c>
      <c r="AG37" s="33">
        <v>4</v>
      </c>
      <c r="AH37" s="26">
        <v>0.66666666666666663</v>
      </c>
      <c r="AI37" s="26"/>
      <c r="AJ37" s="75">
        <v>1</v>
      </c>
      <c r="AK37" s="75">
        <v>1</v>
      </c>
      <c r="AL37" s="26">
        <v>1</v>
      </c>
      <c r="AM37" s="35">
        <v>703</v>
      </c>
      <c r="AN37" s="35">
        <v>502998.5</v>
      </c>
      <c r="AO37" s="101">
        <v>48</v>
      </c>
      <c r="AP37" s="35">
        <v>10982</v>
      </c>
      <c r="AQ37" s="33">
        <v>7</v>
      </c>
      <c r="AR37" s="33">
        <v>5</v>
      </c>
      <c r="AS37" s="26">
        <v>0.7142857142857143</v>
      </c>
      <c r="AT37" s="26"/>
      <c r="AU37" s="75">
        <v>1</v>
      </c>
      <c r="AV37" s="75">
        <v>1</v>
      </c>
      <c r="AW37" s="26">
        <v>1</v>
      </c>
      <c r="AX37" s="35">
        <v>1013</v>
      </c>
      <c r="AY37" s="35">
        <v>621136.5</v>
      </c>
      <c r="AZ37" s="101">
        <v>53</v>
      </c>
      <c r="BA37" s="35">
        <v>15082.4</v>
      </c>
      <c r="BB37" s="33">
        <v>7</v>
      </c>
      <c r="BC37" s="33">
        <v>5</v>
      </c>
      <c r="BD37" s="26">
        <v>0.7142857142857143</v>
      </c>
      <c r="BE37" s="26"/>
      <c r="BF37" s="99">
        <v>1</v>
      </c>
      <c r="BG37" s="99">
        <v>1</v>
      </c>
      <c r="BH37" s="84">
        <f t="shared" si="3"/>
        <v>1</v>
      </c>
      <c r="BI37" s="100">
        <v>903</v>
      </c>
      <c r="BJ37" s="91">
        <v>578152.31000000006</v>
      </c>
      <c r="BK37" s="100">
        <v>64</v>
      </c>
      <c r="BL37" s="91">
        <v>15728</v>
      </c>
      <c r="BM37" s="99">
        <v>5</v>
      </c>
      <c r="BN37" s="99">
        <v>5</v>
      </c>
      <c r="BO37" s="84">
        <f t="shared" si="4"/>
        <v>1</v>
      </c>
      <c r="BP37" s="159" t="str">
        <f t="shared" si="0"/>
        <v>OK</v>
      </c>
      <c r="BQ37" s="226" t="s">
        <v>18</v>
      </c>
      <c r="BR37" s="227">
        <v>5</v>
      </c>
    </row>
    <row r="38" spans="1:70" x14ac:dyDescent="0.25">
      <c r="A38" s="16" t="s">
        <v>360</v>
      </c>
      <c r="B38" s="33"/>
      <c r="C38" s="33"/>
      <c r="D38" s="26"/>
      <c r="E38" s="26"/>
      <c r="F38" s="33">
        <v>2</v>
      </c>
      <c r="G38" s="33">
        <v>2</v>
      </c>
      <c r="H38" s="26">
        <v>1</v>
      </c>
      <c r="I38" s="44">
        <v>621</v>
      </c>
      <c r="J38" s="35">
        <v>946041.98</v>
      </c>
      <c r="K38" s="44">
        <v>5</v>
      </c>
      <c r="L38" s="35">
        <v>1202.26</v>
      </c>
      <c r="M38" s="33">
        <v>1</v>
      </c>
      <c r="N38" s="33">
        <v>0</v>
      </c>
      <c r="O38" s="26">
        <v>0</v>
      </c>
      <c r="P38" s="26"/>
      <c r="Q38" s="33">
        <v>2</v>
      </c>
      <c r="R38" s="33">
        <v>2</v>
      </c>
      <c r="S38" s="26">
        <v>1</v>
      </c>
      <c r="T38" s="44">
        <v>874</v>
      </c>
      <c r="U38" s="35">
        <v>1119724.83</v>
      </c>
      <c r="V38" s="44">
        <v>6</v>
      </c>
      <c r="W38" s="35">
        <v>853.04</v>
      </c>
      <c r="X38" s="26"/>
      <c r="Y38" s="75">
        <v>2</v>
      </c>
      <c r="Z38" s="75">
        <v>2</v>
      </c>
      <c r="AA38" s="26">
        <v>1</v>
      </c>
      <c r="AB38" s="101">
        <v>1076</v>
      </c>
      <c r="AC38" s="35">
        <v>1066543.54</v>
      </c>
      <c r="AD38" s="101">
        <v>0</v>
      </c>
      <c r="AE38" s="35">
        <v>0</v>
      </c>
      <c r="AF38" s="33">
        <v>1</v>
      </c>
      <c r="AG38" s="33">
        <v>1</v>
      </c>
      <c r="AH38" s="26">
        <v>1</v>
      </c>
      <c r="AI38" s="26"/>
      <c r="AJ38" s="75">
        <v>2</v>
      </c>
      <c r="AK38" s="75">
        <v>1</v>
      </c>
      <c r="AL38" s="26">
        <v>0.5</v>
      </c>
      <c r="AM38" s="35">
        <v>1616</v>
      </c>
      <c r="AN38" s="35">
        <v>1601671.5899999999</v>
      </c>
      <c r="AO38" s="101">
        <v>4</v>
      </c>
      <c r="AP38" s="35">
        <v>7107.02</v>
      </c>
      <c r="AQ38" s="33">
        <v>4</v>
      </c>
      <c r="AR38" s="33">
        <v>4</v>
      </c>
      <c r="AS38" s="26">
        <v>1</v>
      </c>
      <c r="AT38" s="26"/>
      <c r="AU38" s="75">
        <v>2</v>
      </c>
      <c r="AV38" s="75">
        <v>1</v>
      </c>
      <c r="AW38" s="26">
        <v>0.5</v>
      </c>
      <c r="AX38" s="35">
        <v>4546</v>
      </c>
      <c r="AY38" s="35">
        <v>2354149.39</v>
      </c>
      <c r="AZ38" s="101">
        <v>20</v>
      </c>
      <c r="BA38" s="35">
        <v>121896.47</v>
      </c>
      <c r="BB38" s="33">
        <v>4</v>
      </c>
      <c r="BC38" s="33">
        <v>3</v>
      </c>
      <c r="BD38" s="26">
        <v>0.75</v>
      </c>
      <c r="BE38" s="26"/>
      <c r="BF38" s="99">
        <v>2</v>
      </c>
      <c r="BG38" s="99">
        <v>2</v>
      </c>
      <c r="BH38" s="84">
        <f t="shared" si="3"/>
        <v>1</v>
      </c>
      <c r="BI38" s="100">
        <v>5520</v>
      </c>
      <c r="BJ38" s="91">
        <v>2487259.98</v>
      </c>
      <c r="BK38" s="100">
        <v>63</v>
      </c>
      <c r="BL38" s="91">
        <v>17612.12</v>
      </c>
      <c r="BM38" s="99">
        <v>6</v>
      </c>
      <c r="BN38" s="99">
        <v>6</v>
      </c>
      <c r="BO38" s="84">
        <f t="shared" si="4"/>
        <v>1</v>
      </c>
      <c r="BP38" s="159" t="str">
        <f t="shared" si="0"/>
        <v>OK</v>
      </c>
      <c r="BQ38" s="226" t="s">
        <v>360</v>
      </c>
      <c r="BR38" s="227">
        <v>6</v>
      </c>
    </row>
    <row r="39" spans="1:70" x14ac:dyDescent="0.25">
      <c r="A39" s="16" t="s">
        <v>19</v>
      </c>
      <c r="B39" s="33">
        <v>1</v>
      </c>
      <c r="C39" s="33">
        <v>1</v>
      </c>
      <c r="D39" s="26">
        <v>1</v>
      </c>
      <c r="E39" s="26"/>
      <c r="F39" s="33">
        <v>1</v>
      </c>
      <c r="G39" s="33">
        <v>0</v>
      </c>
      <c r="H39" s="26">
        <v>0</v>
      </c>
      <c r="I39" s="44"/>
      <c r="J39" s="35"/>
      <c r="K39" s="44"/>
      <c r="L39" s="35"/>
      <c r="M39" s="33"/>
      <c r="N39" s="33"/>
      <c r="O39" s="26"/>
      <c r="P39" s="26"/>
      <c r="Q39" s="33"/>
      <c r="R39" s="33"/>
      <c r="S39" s="26"/>
      <c r="T39" s="44"/>
      <c r="U39" s="35"/>
      <c r="V39" s="44"/>
      <c r="W39" s="35"/>
      <c r="X39" s="26"/>
      <c r="Y39" s="75"/>
      <c r="Z39" s="75"/>
      <c r="AA39" s="26"/>
      <c r="AB39" s="101"/>
      <c r="AC39" s="35"/>
      <c r="AD39" s="101"/>
      <c r="AE39" s="35"/>
      <c r="AF39" s="33"/>
      <c r="AG39" s="33"/>
      <c r="AH39" s="26"/>
      <c r="AI39" s="26"/>
      <c r="AJ39" s="75"/>
      <c r="AK39" s="75"/>
      <c r="AL39" s="26"/>
      <c r="AM39" s="35"/>
      <c r="AN39" s="35"/>
      <c r="AO39" s="101"/>
      <c r="AP39" s="35"/>
      <c r="AQ39" s="33"/>
      <c r="AR39" s="33"/>
      <c r="AS39" s="26"/>
      <c r="AT39" s="26"/>
      <c r="AU39" s="75" t="s">
        <v>315</v>
      </c>
      <c r="AV39" s="75" t="s">
        <v>315</v>
      </c>
      <c r="AW39" s="26"/>
      <c r="AX39" s="35"/>
      <c r="AY39" s="35"/>
      <c r="AZ39" s="101"/>
      <c r="BA39" s="35"/>
      <c r="BB39" s="33"/>
      <c r="BC39" s="33"/>
      <c r="BD39" s="26"/>
      <c r="BE39" s="26"/>
      <c r="BF39" s="99" t="s">
        <v>315</v>
      </c>
      <c r="BG39" s="99" t="s">
        <v>315</v>
      </c>
      <c r="BH39" s="84"/>
      <c r="BI39" s="100"/>
      <c r="BJ39" s="91"/>
      <c r="BK39" s="100"/>
      <c r="BL39" s="91"/>
      <c r="BM39" s="99"/>
      <c r="BN39" s="99"/>
      <c r="BO39" s="84"/>
      <c r="BP39" s="159" t="str">
        <f t="shared" si="0"/>
        <v>No</v>
      </c>
      <c r="BQ39" s="226"/>
      <c r="BR39" s="227"/>
    </row>
    <row r="40" spans="1:70" x14ac:dyDescent="0.25">
      <c r="A40" s="16" t="s">
        <v>385</v>
      </c>
      <c r="B40" s="33">
        <v>6</v>
      </c>
      <c r="C40" s="33">
        <v>4</v>
      </c>
      <c r="D40" s="26">
        <v>0.66666666666666663</v>
      </c>
      <c r="E40" s="26"/>
      <c r="F40" s="33">
        <v>6</v>
      </c>
      <c r="G40" s="33">
        <v>5</v>
      </c>
      <c r="H40" s="26">
        <v>0.83333333333333337</v>
      </c>
      <c r="I40" s="44">
        <v>556</v>
      </c>
      <c r="J40" s="35">
        <v>133846.66</v>
      </c>
      <c r="K40" s="44">
        <v>1</v>
      </c>
      <c r="L40" s="35">
        <v>200</v>
      </c>
      <c r="M40" s="33"/>
      <c r="N40" s="33"/>
      <c r="O40" s="26"/>
      <c r="P40" s="26"/>
      <c r="Q40" s="33">
        <v>6</v>
      </c>
      <c r="R40" s="33">
        <v>5</v>
      </c>
      <c r="S40" s="26">
        <v>0.83333333333333337</v>
      </c>
      <c r="T40" s="44">
        <v>277</v>
      </c>
      <c r="U40" s="35">
        <v>127111.88</v>
      </c>
      <c r="V40" s="44">
        <v>0</v>
      </c>
      <c r="W40" s="35">
        <v>0</v>
      </c>
      <c r="X40" s="26"/>
      <c r="Y40" s="75">
        <v>5</v>
      </c>
      <c r="Z40" s="75">
        <v>5</v>
      </c>
      <c r="AA40" s="26">
        <v>1</v>
      </c>
      <c r="AB40" s="101">
        <v>290</v>
      </c>
      <c r="AC40" s="35">
        <v>96771.97</v>
      </c>
      <c r="AD40" s="101">
        <v>1</v>
      </c>
      <c r="AE40" s="35">
        <v>200</v>
      </c>
      <c r="AF40" s="33">
        <v>6</v>
      </c>
      <c r="AG40" s="33">
        <v>4</v>
      </c>
      <c r="AH40" s="26">
        <v>0.66666666666666663</v>
      </c>
      <c r="AI40" s="26"/>
      <c r="AJ40" s="75">
        <v>5</v>
      </c>
      <c r="AK40" s="75">
        <v>4</v>
      </c>
      <c r="AL40" s="26">
        <v>0.8</v>
      </c>
      <c r="AM40" s="35">
        <v>343</v>
      </c>
      <c r="AN40" s="35">
        <v>159961.03999999998</v>
      </c>
      <c r="AO40" s="101">
        <v>4</v>
      </c>
      <c r="AP40" s="35">
        <v>2200</v>
      </c>
      <c r="AQ40" s="33">
        <v>6</v>
      </c>
      <c r="AR40" s="33">
        <v>5</v>
      </c>
      <c r="AS40" s="26">
        <v>0.83333333333333337</v>
      </c>
      <c r="AT40" s="26"/>
      <c r="AU40" s="75">
        <v>2</v>
      </c>
      <c r="AV40" s="75">
        <v>2</v>
      </c>
      <c r="AW40" s="26">
        <v>1</v>
      </c>
      <c r="AX40" s="35">
        <v>203</v>
      </c>
      <c r="AY40" s="35">
        <v>71101.05</v>
      </c>
      <c r="AZ40" s="101">
        <v>1</v>
      </c>
      <c r="BA40" s="35">
        <v>268</v>
      </c>
      <c r="BB40" s="33">
        <v>4</v>
      </c>
      <c r="BC40" s="33">
        <v>4</v>
      </c>
      <c r="BD40" s="26">
        <v>1</v>
      </c>
      <c r="BE40" s="26"/>
      <c r="BF40" s="99">
        <v>2</v>
      </c>
      <c r="BG40" s="99">
        <v>2</v>
      </c>
      <c r="BH40" s="84">
        <f>BG40/BF40</f>
        <v>1</v>
      </c>
      <c r="BI40" s="100">
        <v>58</v>
      </c>
      <c r="BJ40" s="91">
        <v>32562.300000000003</v>
      </c>
      <c r="BK40" s="100">
        <v>0</v>
      </c>
      <c r="BL40" s="91">
        <v>0</v>
      </c>
      <c r="BM40" s="99">
        <v>4</v>
      </c>
      <c r="BN40" s="99">
        <v>4</v>
      </c>
      <c r="BO40" s="84">
        <f>BN40/BM40</f>
        <v>1</v>
      </c>
      <c r="BP40" s="159" t="str">
        <f t="shared" si="0"/>
        <v>OK</v>
      </c>
      <c r="BQ40" s="226" t="s">
        <v>385</v>
      </c>
      <c r="BR40" s="227">
        <v>4</v>
      </c>
    </row>
    <row r="41" spans="1:70" x14ac:dyDescent="0.25">
      <c r="A41" s="16" t="s">
        <v>31</v>
      </c>
      <c r="B41" s="33">
        <v>2</v>
      </c>
      <c r="C41" s="33">
        <v>0</v>
      </c>
      <c r="D41" s="26">
        <v>0</v>
      </c>
      <c r="E41" s="26"/>
      <c r="F41" s="33">
        <v>2</v>
      </c>
      <c r="G41" s="33">
        <v>2</v>
      </c>
      <c r="H41" s="26">
        <v>1</v>
      </c>
      <c r="I41" s="44">
        <v>1641</v>
      </c>
      <c r="J41" s="35">
        <v>106072.89</v>
      </c>
      <c r="K41" s="44">
        <v>196</v>
      </c>
      <c r="L41" s="35">
        <v>11800.09</v>
      </c>
      <c r="M41" s="33">
        <v>5</v>
      </c>
      <c r="N41" s="33">
        <v>3</v>
      </c>
      <c r="O41" s="26">
        <v>0.6</v>
      </c>
      <c r="P41" s="26"/>
      <c r="Q41" s="33">
        <v>4</v>
      </c>
      <c r="R41" s="33">
        <v>3</v>
      </c>
      <c r="S41" s="26">
        <v>0.75</v>
      </c>
      <c r="T41" s="44">
        <v>1869</v>
      </c>
      <c r="U41" s="35">
        <v>102565.65</v>
      </c>
      <c r="V41" s="44">
        <v>174</v>
      </c>
      <c r="W41" s="35">
        <v>11904.490000000002</v>
      </c>
      <c r="X41" s="26"/>
      <c r="Y41" s="75">
        <v>5</v>
      </c>
      <c r="Z41" s="75">
        <v>5</v>
      </c>
      <c r="AA41" s="26">
        <v>1</v>
      </c>
      <c r="AB41" s="101">
        <v>1520</v>
      </c>
      <c r="AC41" s="35">
        <v>95861.34</v>
      </c>
      <c r="AD41" s="101">
        <v>183</v>
      </c>
      <c r="AE41" s="35">
        <v>7994.28</v>
      </c>
      <c r="AF41" s="33">
        <v>6</v>
      </c>
      <c r="AG41" s="33">
        <v>4</v>
      </c>
      <c r="AH41" s="26">
        <v>0.66666666666666663</v>
      </c>
      <c r="AI41" s="26"/>
      <c r="AJ41" s="75">
        <v>7</v>
      </c>
      <c r="AK41" s="75">
        <v>6</v>
      </c>
      <c r="AL41" s="26">
        <v>0.8571428571428571</v>
      </c>
      <c r="AM41" s="35">
        <v>2063</v>
      </c>
      <c r="AN41" s="35">
        <v>127172.18</v>
      </c>
      <c r="AO41" s="101">
        <v>371</v>
      </c>
      <c r="AP41" s="35">
        <v>15219.039999999999</v>
      </c>
      <c r="AQ41" s="33">
        <v>11</v>
      </c>
      <c r="AR41" s="33">
        <v>9</v>
      </c>
      <c r="AS41" s="26">
        <v>0.81818181818181823</v>
      </c>
      <c r="AT41" s="26"/>
      <c r="AU41" s="75">
        <v>6</v>
      </c>
      <c r="AV41" s="75">
        <v>6</v>
      </c>
      <c r="AW41" s="26">
        <v>1</v>
      </c>
      <c r="AX41" s="35">
        <v>2355</v>
      </c>
      <c r="AY41" s="35">
        <v>116346.14</v>
      </c>
      <c r="AZ41" s="101">
        <v>371</v>
      </c>
      <c r="BA41" s="35">
        <v>11827.439999999999</v>
      </c>
      <c r="BB41" s="33">
        <v>9</v>
      </c>
      <c r="BC41" s="33">
        <v>9</v>
      </c>
      <c r="BD41" s="26">
        <v>1</v>
      </c>
      <c r="BE41" s="26"/>
      <c r="BF41" s="99">
        <v>4</v>
      </c>
      <c r="BG41" s="99">
        <v>4</v>
      </c>
      <c r="BH41" s="84">
        <f>BG41/BF41</f>
        <v>1</v>
      </c>
      <c r="BI41" s="100">
        <v>4000</v>
      </c>
      <c r="BJ41" s="91">
        <v>73096.98</v>
      </c>
      <c r="BK41" s="100">
        <v>2546</v>
      </c>
      <c r="BL41" s="91">
        <v>37386.590000000004</v>
      </c>
      <c r="BM41" s="99">
        <v>9</v>
      </c>
      <c r="BN41" s="99">
        <v>9</v>
      </c>
      <c r="BO41" s="84">
        <f>BN41/BM41</f>
        <v>1</v>
      </c>
      <c r="BP41" s="159" t="str">
        <f t="shared" si="0"/>
        <v>OK</v>
      </c>
      <c r="BQ41" s="226" t="s">
        <v>31</v>
      </c>
      <c r="BR41" s="227">
        <v>9</v>
      </c>
    </row>
    <row r="42" spans="1:70" x14ac:dyDescent="0.25">
      <c r="A42" s="16" t="s">
        <v>20</v>
      </c>
      <c r="B42" s="33">
        <v>12</v>
      </c>
      <c r="C42" s="33">
        <v>10</v>
      </c>
      <c r="D42" s="26">
        <v>0.83333333333333337</v>
      </c>
      <c r="E42" s="26"/>
      <c r="F42" s="33">
        <v>12</v>
      </c>
      <c r="G42" s="33">
        <v>9</v>
      </c>
      <c r="H42" s="26">
        <v>0.75</v>
      </c>
      <c r="I42" s="44">
        <v>3309</v>
      </c>
      <c r="J42" s="35">
        <v>114848.08</v>
      </c>
      <c r="K42" s="44">
        <v>15</v>
      </c>
      <c r="L42" s="35">
        <v>488.14</v>
      </c>
      <c r="M42" s="33">
        <v>73</v>
      </c>
      <c r="N42" s="33">
        <v>46</v>
      </c>
      <c r="O42" s="26">
        <v>0.63013698630136983</v>
      </c>
      <c r="P42" s="26"/>
      <c r="Q42" s="33">
        <v>12</v>
      </c>
      <c r="R42" s="33">
        <v>9</v>
      </c>
      <c r="S42" s="26">
        <v>0.75</v>
      </c>
      <c r="T42" s="44">
        <v>3479</v>
      </c>
      <c r="U42" s="35">
        <v>109795.85</v>
      </c>
      <c r="V42" s="44">
        <v>14</v>
      </c>
      <c r="W42" s="35">
        <v>763.36</v>
      </c>
      <c r="X42" s="26"/>
      <c r="Y42" s="75">
        <v>12</v>
      </c>
      <c r="Z42" s="75">
        <v>9</v>
      </c>
      <c r="AA42" s="26">
        <v>0.75</v>
      </c>
      <c r="AB42" s="101">
        <v>3593</v>
      </c>
      <c r="AC42" s="35">
        <v>106821.76000000001</v>
      </c>
      <c r="AD42" s="101">
        <v>9</v>
      </c>
      <c r="AE42" s="35">
        <v>864.36</v>
      </c>
      <c r="AF42" s="33">
        <v>81</v>
      </c>
      <c r="AG42" s="33">
        <v>69</v>
      </c>
      <c r="AH42" s="26">
        <v>0.85185185185185186</v>
      </c>
      <c r="AI42" s="26"/>
      <c r="AJ42" s="75">
        <v>12</v>
      </c>
      <c r="AK42" s="75">
        <v>9</v>
      </c>
      <c r="AL42" s="26">
        <v>0.75</v>
      </c>
      <c r="AM42" s="35">
        <v>3804</v>
      </c>
      <c r="AN42" s="35">
        <v>125890.54999999999</v>
      </c>
      <c r="AO42" s="101">
        <v>6</v>
      </c>
      <c r="AP42" s="35">
        <v>256.07</v>
      </c>
      <c r="AQ42" s="33">
        <v>60</v>
      </c>
      <c r="AR42" s="33">
        <v>54</v>
      </c>
      <c r="AS42" s="26">
        <v>0.9</v>
      </c>
      <c r="AT42" s="26"/>
      <c r="AU42" s="75">
        <v>13</v>
      </c>
      <c r="AV42" s="75">
        <v>7</v>
      </c>
      <c r="AW42" s="26">
        <v>0.53846153846153844</v>
      </c>
      <c r="AX42" s="35">
        <v>3140</v>
      </c>
      <c r="AY42" s="35">
        <v>101600.37</v>
      </c>
      <c r="AZ42" s="101">
        <v>10</v>
      </c>
      <c r="BA42" s="35">
        <v>368.85</v>
      </c>
      <c r="BB42" s="33">
        <v>53</v>
      </c>
      <c r="BC42" s="33">
        <v>48</v>
      </c>
      <c r="BD42" s="26">
        <v>0.90566037735849059</v>
      </c>
      <c r="BE42" s="26"/>
      <c r="BF42" s="99">
        <v>13</v>
      </c>
      <c r="BG42" s="99">
        <v>8</v>
      </c>
      <c r="BH42" s="84">
        <f>BG42/BF42</f>
        <v>0.61538461538461542</v>
      </c>
      <c r="BI42" s="100">
        <v>1865</v>
      </c>
      <c r="BJ42" s="91">
        <v>77426.460000000006</v>
      </c>
      <c r="BK42" s="100">
        <v>11</v>
      </c>
      <c r="BL42" s="91">
        <v>710.88999999999987</v>
      </c>
      <c r="BM42" s="99">
        <v>39</v>
      </c>
      <c r="BN42" s="99">
        <v>30</v>
      </c>
      <c r="BO42" s="84">
        <f>BN42/BM42</f>
        <v>0.76923076923076927</v>
      </c>
      <c r="BP42" s="159" t="str">
        <f t="shared" si="0"/>
        <v>OK</v>
      </c>
      <c r="BQ42" s="226" t="s">
        <v>20</v>
      </c>
      <c r="BR42" s="227">
        <v>30</v>
      </c>
    </row>
    <row r="43" spans="1:70" x14ac:dyDescent="0.25">
      <c r="A43" s="16" t="s">
        <v>42</v>
      </c>
      <c r="B43" s="33">
        <v>26</v>
      </c>
      <c r="C43" s="33">
        <v>20</v>
      </c>
      <c r="D43" s="26">
        <v>0.76923076923076927</v>
      </c>
      <c r="E43" s="26"/>
      <c r="F43" s="33">
        <v>21</v>
      </c>
      <c r="G43" s="33">
        <v>21</v>
      </c>
      <c r="H43" s="26">
        <v>1</v>
      </c>
      <c r="I43" s="44">
        <v>7392</v>
      </c>
      <c r="J43" s="35">
        <v>1494000.5099999998</v>
      </c>
      <c r="K43" s="44">
        <v>85</v>
      </c>
      <c r="L43" s="35">
        <v>28117</v>
      </c>
      <c r="M43" s="33">
        <v>49</v>
      </c>
      <c r="N43" s="33">
        <v>33</v>
      </c>
      <c r="O43" s="26">
        <v>0.67346938775510201</v>
      </c>
      <c r="P43" s="26"/>
      <c r="Q43" s="33">
        <v>20</v>
      </c>
      <c r="R43" s="33">
        <v>18</v>
      </c>
      <c r="S43" s="26">
        <v>0.9</v>
      </c>
      <c r="T43" s="44">
        <v>7263</v>
      </c>
      <c r="U43" s="35">
        <v>1477338.77</v>
      </c>
      <c r="V43" s="44">
        <v>93</v>
      </c>
      <c r="W43" s="35">
        <v>26177.24</v>
      </c>
      <c r="X43" s="26"/>
      <c r="Y43" s="75">
        <v>21</v>
      </c>
      <c r="Z43" s="75">
        <v>20</v>
      </c>
      <c r="AA43" s="26">
        <v>0.95238095238095233</v>
      </c>
      <c r="AB43" s="101">
        <v>10982</v>
      </c>
      <c r="AC43" s="35">
        <v>1386799.7199999997</v>
      </c>
      <c r="AD43" s="101">
        <v>77</v>
      </c>
      <c r="AE43" s="35">
        <v>18046.169999999998</v>
      </c>
      <c r="AF43" s="33">
        <v>53</v>
      </c>
      <c r="AG43" s="33">
        <v>46</v>
      </c>
      <c r="AH43" s="26">
        <v>0.86792452830188682</v>
      </c>
      <c r="AI43" s="26"/>
      <c r="AJ43" s="75">
        <v>22</v>
      </c>
      <c r="AK43" s="75">
        <v>21</v>
      </c>
      <c r="AL43" s="26">
        <v>0.95454545454545459</v>
      </c>
      <c r="AM43" s="35">
        <v>12335</v>
      </c>
      <c r="AN43" s="35">
        <v>636379.06000000006</v>
      </c>
      <c r="AO43" s="101">
        <v>65</v>
      </c>
      <c r="AP43" s="35">
        <v>18719.22</v>
      </c>
      <c r="AQ43" s="33">
        <v>38</v>
      </c>
      <c r="AR43" s="33">
        <v>29</v>
      </c>
      <c r="AS43" s="26">
        <v>0.76315789473684215</v>
      </c>
      <c r="AT43" s="26"/>
      <c r="AU43" s="75">
        <v>18</v>
      </c>
      <c r="AV43" s="75">
        <v>17</v>
      </c>
      <c r="AW43" s="26">
        <v>0.94444444444444442</v>
      </c>
      <c r="AX43" s="35">
        <v>11631</v>
      </c>
      <c r="AY43" s="35">
        <v>500162.56</v>
      </c>
      <c r="AZ43" s="101">
        <v>127</v>
      </c>
      <c r="BA43" s="35">
        <v>23898.75</v>
      </c>
      <c r="BB43" s="33">
        <v>32</v>
      </c>
      <c r="BC43" s="33">
        <v>25</v>
      </c>
      <c r="BD43" s="26">
        <v>0.78125</v>
      </c>
      <c r="BE43" s="26"/>
      <c r="BF43" s="99">
        <v>17</v>
      </c>
      <c r="BG43" s="99">
        <v>17</v>
      </c>
      <c r="BH43" s="84">
        <f>BG43/BF43</f>
        <v>1</v>
      </c>
      <c r="BI43" s="100">
        <v>9554</v>
      </c>
      <c r="BJ43" s="91">
        <v>347586.52999999997</v>
      </c>
      <c r="BK43" s="100">
        <v>180</v>
      </c>
      <c r="BL43" s="91">
        <v>55667.3</v>
      </c>
      <c r="BM43" s="99">
        <v>32</v>
      </c>
      <c r="BN43" s="99">
        <v>19</v>
      </c>
      <c r="BO43" s="84">
        <f>BN43/BM43</f>
        <v>0.59375</v>
      </c>
      <c r="BP43" s="159" t="str">
        <f t="shared" si="0"/>
        <v>OK</v>
      </c>
      <c r="BQ43" s="226" t="s">
        <v>42</v>
      </c>
      <c r="BR43" s="227">
        <v>19</v>
      </c>
    </row>
    <row r="44" spans="1:70" x14ac:dyDescent="0.25">
      <c r="A44" s="16" t="s">
        <v>43</v>
      </c>
      <c r="B44" s="33">
        <v>16</v>
      </c>
      <c r="C44" s="33">
        <v>12</v>
      </c>
      <c r="D44" s="26">
        <v>0.75</v>
      </c>
      <c r="E44" s="26"/>
      <c r="F44" s="33">
        <v>16</v>
      </c>
      <c r="G44" s="33">
        <v>15</v>
      </c>
      <c r="H44" s="26">
        <v>0.9375</v>
      </c>
      <c r="I44" s="44">
        <v>39451</v>
      </c>
      <c r="J44" s="35">
        <v>749573.65999999992</v>
      </c>
      <c r="K44" s="44">
        <v>115</v>
      </c>
      <c r="L44" s="35">
        <v>11315.12</v>
      </c>
      <c r="M44" s="33">
        <v>33</v>
      </c>
      <c r="N44" s="33">
        <v>21</v>
      </c>
      <c r="O44" s="26">
        <v>0.63636363636363635</v>
      </c>
      <c r="P44" s="26"/>
      <c r="Q44" s="33">
        <v>16</v>
      </c>
      <c r="R44" s="33">
        <v>11</v>
      </c>
      <c r="S44" s="26">
        <v>0.6875</v>
      </c>
      <c r="T44" s="44">
        <v>37999</v>
      </c>
      <c r="U44" s="35">
        <v>702207.41</v>
      </c>
      <c r="V44" s="44">
        <v>103</v>
      </c>
      <c r="W44" s="35">
        <v>7067.41</v>
      </c>
      <c r="X44" s="26"/>
      <c r="Y44" s="75">
        <v>18</v>
      </c>
      <c r="Z44" s="75">
        <v>14</v>
      </c>
      <c r="AA44" s="26">
        <v>0.77777777777777779</v>
      </c>
      <c r="AB44" s="101">
        <v>29114</v>
      </c>
      <c r="AC44" s="35">
        <v>809693.47000000009</v>
      </c>
      <c r="AD44" s="101">
        <v>129</v>
      </c>
      <c r="AE44" s="35">
        <v>12942.85</v>
      </c>
      <c r="AF44" s="33">
        <v>49</v>
      </c>
      <c r="AG44" s="33">
        <v>39</v>
      </c>
      <c r="AH44" s="26">
        <v>0.79591836734693877</v>
      </c>
      <c r="AI44" s="26"/>
      <c r="AJ44" s="75">
        <v>17</v>
      </c>
      <c r="AK44" s="75">
        <v>14</v>
      </c>
      <c r="AL44" s="26">
        <v>0.82352941176470584</v>
      </c>
      <c r="AM44" s="35">
        <v>15245</v>
      </c>
      <c r="AN44" s="35">
        <v>873828.44</v>
      </c>
      <c r="AO44" s="101">
        <v>152</v>
      </c>
      <c r="AP44" s="35">
        <v>15865.75</v>
      </c>
      <c r="AQ44" s="33">
        <v>38</v>
      </c>
      <c r="AR44" s="33">
        <v>26</v>
      </c>
      <c r="AS44" s="26">
        <v>0.68421052631578949</v>
      </c>
      <c r="AT44" s="26"/>
      <c r="AU44" s="75">
        <v>16</v>
      </c>
      <c r="AV44" s="75">
        <v>12</v>
      </c>
      <c r="AW44" s="26">
        <v>0.75</v>
      </c>
      <c r="AX44" s="35">
        <v>9739</v>
      </c>
      <c r="AY44" s="35">
        <v>756948.47999999998</v>
      </c>
      <c r="AZ44" s="101">
        <v>143</v>
      </c>
      <c r="BA44" s="35">
        <v>15594.080000000002</v>
      </c>
      <c r="BB44" s="33">
        <v>26</v>
      </c>
      <c r="BC44" s="33">
        <v>17</v>
      </c>
      <c r="BD44" s="26">
        <v>0.65384615384615385</v>
      </c>
      <c r="BE44" s="26"/>
      <c r="BF44" s="99">
        <v>13</v>
      </c>
      <c r="BG44" s="99">
        <v>12</v>
      </c>
      <c r="BH44" s="84">
        <f>BG44/BF44</f>
        <v>0.92307692307692313</v>
      </c>
      <c r="BI44" s="100">
        <v>7672</v>
      </c>
      <c r="BJ44" s="91">
        <v>714735.74</v>
      </c>
      <c r="BK44" s="100">
        <v>157</v>
      </c>
      <c r="BL44" s="91">
        <v>26619.56</v>
      </c>
      <c r="BM44" s="99">
        <v>28</v>
      </c>
      <c r="BN44" s="99">
        <v>28</v>
      </c>
      <c r="BO44" s="84">
        <f>BN44/BM44</f>
        <v>1</v>
      </c>
      <c r="BP44" s="159" t="str">
        <f t="shared" si="0"/>
        <v>OK</v>
      </c>
      <c r="BQ44" s="226" t="s">
        <v>43</v>
      </c>
      <c r="BR44" s="227">
        <v>28</v>
      </c>
    </row>
    <row r="45" spans="1:70" x14ac:dyDescent="0.25">
      <c r="A45" s="16" t="s">
        <v>34</v>
      </c>
      <c r="B45" s="33"/>
      <c r="C45" s="33"/>
      <c r="D45" s="26"/>
      <c r="E45" s="26"/>
      <c r="F45" s="33"/>
      <c r="G45" s="33"/>
      <c r="H45" s="26"/>
      <c r="I45" s="44"/>
      <c r="J45" s="35"/>
      <c r="K45" s="44"/>
      <c r="L45" s="35"/>
      <c r="M45" s="33"/>
      <c r="N45" s="33"/>
      <c r="O45" s="26"/>
      <c r="P45" s="26"/>
      <c r="Q45" s="33"/>
      <c r="R45" s="33"/>
      <c r="S45" s="26"/>
      <c r="T45" s="44"/>
      <c r="U45" s="35"/>
      <c r="V45" s="44"/>
      <c r="W45" s="35"/>
      <c r="X45" s="26"/>
      <c r="Y45" s="75"/>
      <c r="Z45" s="75"/>
      <c r="AA45" s="26"/>
      <c r="AB45" s="101"/>
      <c r="AC45" s="35"/>
      <c r="AD45" s="101"/>
      <c r="AE45" s="35"/>
      <c r="AF45" s="33"/>
      <c r="AG45" s="33"/>
      <c r="AH45" s="26"/>
      <c r="AI45" s="26"/>
      <c r="AJ45" s="75"/>
      <c r="AK45" s="75"/>
      <c r="AL45" s="26"/>
      <c r="AM45" s="35"/>
      <c r="AN45" s="35"/>
      <c r="AO45" s="101"/>
      <c r="AP45" s="35"/>
      <c r="AQ45" s="33"/>
      <c r="AR45" s="33"/>
      <c r="AS45" s="26"/>
      <c r="AT45" s="26"/>
      <c r="AU45" s="75" t="s">
        <v>315</v>
      </c>
      <c r="AV45" s="75" t="s">
        <v>315</v>
      </c>
      <c r="AW45" s="26"/>
      <c r="AX45" s="35"/>
      <c r="AY45" s="35"/>
      <c r="AZ45" s="101"/>
      <c r="BA45" s="35"/>
      <c r="BB45" s="33"/>
      <c r="BC45" s="33"/>
      <c r="BD45" s="26"/>
      <c r="BE45" s="26"/>
      <c r="BF45" s="99" t="s">
        <v>315</v>
      </c>
      <c r="BG45" s="99" t="s">
        <v>315</v>
      </c>
      <c r="BH45" s="84"/>
      <c r="BI45" s="100"/>
      <c r="BJ45" s="91"/>
      <c r="BK45" s="100"/>
      <c r="BL45" s="91"/>
      <c r="BM45" s="99"/>
      <c r="BN45" s="99"/>
      <c r="BO45" s="84"/>
      <c r="BP45" s="159" t="str">
        <f t="shared" si="0"/>
        <v>No</v>
      </c>
      <c r="BQ45" s="226"/>
      <c r="BR45" s="227"/>
    </row>
    <row r="46" spans="1:70" x14ac:dyDescent="0.25">
      <c r="A46" s="16" t="s">
        <v>35</v>
      </c>
      <c r="B46" s="33"/>
      <c r="C46" s="33"/>
      <c r="D46" s="26"/>
      <c r="E46" s="26"/>
      <c r="F46" s="33"/>
      <c r="G46" s="33"/>
      <c r="H46" s="26"/>
      <c r="I46" s="44"/>
      <c r="J46" s="35"/>
      <c r="K46" s="44"/>
      <c r="L46" s="35"/>
      <c r="M46" s="33"/>
      <c r="N46" s="33"/>
      <c r="O46" s="26"/>
      <c r="P46" s="26"/>
      <c r="Q46" s="33"/>
      <c r="R46" s="33"/>
      <c r="S46" s="26"/>
      <c r="T46" s="44"/>
      <c r="U46" s="35"/>
      <c r="V46" s="44"/>
      <c r="W46" s="35"/>
      <c r="X46" s="26"/>
      <c r="Y46" s="75"/>
      <c r="Z46" s="75"/>
      <c r="AA46" s="26"/>
      <c r="AB46" s="101"/>
      <c r="AC46" s="35"/>
      <c r="AD46" s="101"/>
      <c r="AE46" s="35"/>
      <c r="AF46" s="33"/>
      <c r="AG46" s="33"/>
      <c r="AH46" s="26"/>
      <c r="AI46" s="26"/>
      <c r="AJ46" s="75"/>
      <c r="AK46" s="75"/>
      <c r="AL46" s="26"/>
      <c r="AM46" s="35"/>
      <c r="AN46" s="35"/>
      <c r="AO46" s="101"/>
      <c r="AP46" s="35"/>
      <c r="AQ46" s="33"/>
      <c r="AR46" s="33"/>
      <c r="AS46" s="26"/>
      <c r="AT46" s="26"/>
      <c r="AU46" s="75" t="s">
        <v>315</v>
      </c>
      <c r="AV46" s="75" t="s">
        <v>315</v>
      </c>
      <c r="AW46" s="26"/>
      <c r="AX46" s="35"/>
      <c r="AY46" s="35"/>
      <c r="AZ46" s="101"/>
      <c r="BA46" s="35"/>
      <c r="BB46" s="33"/>
      <c r="BC46" s="33"/>
      <c r="BD46" s="26"/>
      <c r="BE46" s="26"/>
      <c r="BF46" s="99" t="s">
        <v>315</v>
      </c>
      <c r="BG46" s="99" t="s">
        <v>315</v>
      </c>
      <c r="BH46" s="84"/>
      <c r="BI46" s="100"/>
      <c r="BJ46" s="91"/>
      <c r="BK46" s="100"/>
      <c r="BL46" s="91"/>
      <c r="BM46" s="99"/>
      <c r="BN46" s="99"/>
      <c r="BO46" s="84"/>
      <c r="BP46" s="159" t="str">
        <f t="shared" si="0"/>
        <v>No</v>
      </c>
      <c r="BQ46" s="226"/>
      <c r="BR46" s="227"/>
    </row>
    <row r="47" spans="1:70" x14ac:dyDescent="0.25">
      <c r="A47" s="16" t="s">
        <v>386</v>
      </c>
      <c r="B47" s="33">
        <v>4</v>
      </c>
      <c r="C47" s="33">
        <v>4</v>
      </c>
      <c r="D47" s="26">
        <v>1</v>
      </c>
      <c r="E47" s="26"/>
      <c r="F47" s="33">
        <v>4</v>
      </c>
      <c r="G47" s="33">
        <v>4</v>
      </c>
      <c r="H47" s="26">
        <v>1</v>
      </c>
      <c r="I47" s="44">
        <v>131277</v>
      </c>
      <c r="J47" s="35">
        <v>2857657.3</v>
      </c>
      <c r="K47" s="44">
        <v>88</v>
      </c>
      <c r="L47" s="35">
        <v>24768.09</v>
      </c>
      <c r="M47" s="33">
        <v>3</v>
      </c>
      <c r="N47" s="33">
        <v>2</v>
      </c>
      <c r="O47" s="26">
        <v>0.66666666666666663</v>
      </c>
      <c r="P47" s="26"/>
      <c r="Q47" s="33">
        <v>4</v>
      </c>
      <c r="R47" s="33">
        <v>4</v>
      </c>
      <c r="S47" s="26">
        <v>1</v>
      </c>
      <c r="T47" s="44">
        <v>146052</v>
      </c>
      <c r="U47" s="35">
        <v>2853572.57</v>
      </c>
      <c r="V47" s="44">
        <v>2482</v>
      </c>
      <c r="W47" s="35">
        <v>16406.509999999998</v>
      </c>
      <c r="X47" s="26"/>
      <c r="Y47" s="75">
        <v>5</v>
      </c>
      <c r="Z47" s="75">
        <v>5</v>
      </c>
      <c r="AA47" s="26">
        <v>1</v>
      </c>
      <c r="AB47" s="101">
        <v>152869</v>
      </c>
      <c r="AC47" s="35">
        <v>3181312.58</v>
      </c>
      <c r="AD47" s="101">
        <v>121</v>
      </c>
      <c r="AE47" s="35">
        <v>4904.5</v>
      </c>
      <c r="AF47" s="33">
        <v>5</v>
      </c>
      <c r="AG47" s="33">
        <v>3</v>
      </c>
      <c r="AH47" s="26">
        <v>0.6</v>
      </c>
      <c r="AI47" s="26"/>
      <c r="AJ47" s="75">
        <v>5</v>
      </c>
      <c r="AK47" s="75">
        <v>5</v>
      </c>
      <c r="AL47" s="26">
        <v>1</v>
      </c>
      <c r="AM47" s="35">
        <v>162122</v>
      </c>
      <c r="AN47" s="35">
        <v>3325673.2600000002</v>
      </c>
      <c r="AO47" s="101">
        <v>511</v>
      </c>
      <c r="AP47" s="35">
        <v>7952.88</v>
      </c>
      <c r="AQ47" s="33">
        <v>5</v>
      </c>
      <c r="AR47" s="33">
        <v>4</v>
      </c>
      <c r="AS47" s="26">
        <v>0.8</v>
      </c>
      <c r="AT47" s="26"/>
      <c r="AU47" s="75">
        <v>5</v>
      </c>
      <c r="AV47" s="75">
        <v>5</v>
      </c>
      <c r="AW47" s="26">
        <v>1</v>
      </c>
      <c r="AX47" s="35">
        <v>149333</v>
      </c>
      <c r="AY47" s="35">
        <v>3258926.5200000005</v>
      </c>
      <c r="AZ47" s="101">
        <v>844</v>
      </c>
      <c r="BA47" s="35">
        <v>29084.25</v>
      </c>
      <c r="BB47" s="33">
        <v>9</v>
      </c>
      <c r="BC47" s="33">
        <v>7</v>
      </c>
      <c r="BD47" s="26">
        <v>0.77777777777777779</v>
      </c>
      <c r="BE47" s="26"/>
      <c r="BF47" s="99">
        <v>4</v>
      </c>
      <c r="BG47" s="99">
        <v>3</v>
      </c>
      <c r="BH47" s="84">
        <f>BG47/BF47</f>
        <v>0.75</v>
      </c>
      <c r="BI47" s="100">
        <v>140300</v>
      </c>
      <c r="BJ47" s="91">
        <v>3453312.3400000003</v>
      </c>
      <c r="BK47" s="100">
        <v>229</v>
      </c>
      <c r="BL47" s="91">
        <v>7288.6</v>
      </c>
      <c r="BM47" s="99">
        <v>8</v>
      </c>
      <c r="BN47" s="99">
        <v>6</v>
      </c>
      <c r="BO47" s="84">
        <f>BN47/BM47</f>
        <v>0.75</v>
      </c>
      <c r="BP47" s="159" t="str">
        <f t="shared" si="0"/>
        <v>OK</v>
      </c>
      <c r="BQ47" s="226" t="s">
        <v>386</v>
      </c>
      <c r="BR47" s="227">
        <v>6</v>
      </c>
    </row>
    <row r="48" spans="1:70" x14ac:dyDescent="0.25">
      <c r="A48" s="16" t="s">
        <v>36</v>
      </c>
      <c r="B48" s="33">
        <v>10</v>
      </c>
      <c r="C48" s="33">
        <v>10</v>
      </c>
      <c r="D48" s="26">
        <v>1</v>
      </c>
      <c r="E48" s="26"/>
      <c r="F48" s="33">
        <v>9</v>
      </c>
      <c r="G48" s="33">
        <v>8</v>
      </c>
      <c r="H48" s="26">
        <v>0.88888888888888884</v>
      </c>
      <c r="I48" s="44">
        <v>67508</v>
      </c>
      <c r="J48" s="35">
        <v>37720509.18999999</v>
      </c>
      <c r="K48" s="44">
        <v>802</v>
      </c>
      <c r="L48" s="35">
        <v>311952.82000000007</v>
      </c>
      <c r="M48" s="33">
        <v>83</v>
      </c>
      <c r="N48" s="33">
        <v>17</v>
      </c>
      <c r="O48" s="26">
        <v>0.20481927710843373</v>
      </c>
      <c r="P48" s="26"/>
      <c r="Q48" s="33">
        <v>8</v>
      </c>
      <c r="R48" s="33">
        <v>4</v>
      </c>
      <c r="S48" s="26">
        <v>0.5</v>
      </c>
      <c r="T48" s="44">
        <v>67110</v>
      </c>
      <c r="U48" s="35">
        <v>37332904.039999999</v>
      </c>
      <c r="V48" s="44">
        <v>413</v>
      </c>
      <c r="W48" s="35">
        <v>229587.69</v>
      </c>
      <c r="X48" s="26"/>
      <c r="Y48" s="75">
        <v>10</v>
      </c>
      <c r="Z48" s="75">
        <v>4</v>
      </c>
      <c r="AA48" s="26">
        <v>0.4</v>
      </c>
      <c r="AB48" s="101">
        <v>73764</v>
      </c>
      <c r="AC48" s="35">
        <v>43695388.25</v>
      </c>
      <c r="AD48" s="101">
        <v>399</v>
      </c>
      <c r="AE48" s="35">
        <v>333611.77</v>
      </c>
      <c r="AF48" s="33">
        <v>128</v>
      </c>
      <c r="AG48" s="33">
        <v>105</v>
      </c>
      <c r="AH48" s="26">
        <v>0.8203125</v>
      </c>
      <c r="AI48" s="26"/>
      <c r="AJ48" s="75">
        <v>8</v>
      </c>
      <c r="AK48" s="75">
        <v>6</v>
      </c>
      <c r="AL48" s="26">
        <v>0.75</v>
      </c>
      <c r="AM48" s="35">
        <v>74465</v>
      </c>
      <c r="AN48" s="35">
        <v>47454370.18</v>
      </c>
      <c r="AO48" s="101">
        <v>362</v>
      </c>
      <c r="AP48" s="35">
        <v>273505.17</v>
      </c>
      <c r="AQ48" s="33">
        <v>16</v>
      </c>
      <c r="AR48" s="33">
        <v>15</v>
      </c>
      <c r="AS48" s="26">
        <v>0.9375</v>
      </c>
      <c r="AT48" s="26"/>
      <c r="AU48" s="75">
        <v>9</v>
      </c>
      <c r="AV48" s="75">
        <v>9</v>
      </c>
      <c r="AW48" s="26">
        <v>1</v>
      </c>
      <c r="AX48" s="35">
        <v>80989</v>
      </c>
      <c r="AY48" s="35">
        <v>46831758.909999996</v>
      </c>
      <c r="AZ48" s="101">
        <v>469</v>
      </c>
      <c r="BA48" s="35">
        <v>133191.44</v>
      </c>
      <c r="BB48" s="33">
        <v>16</v>
      </c>
      <c r="BC48" s="33">
        <v>16</v>
      </c>
      <c r="BD48" s="26">
        <v>1</v>
      </c>
      <c r="BE48" s="26"/>
      <c r="BF48" s="99">
        <v>7</v>
      </c>
      <c r="BG48" s="99">
        <v>7</v>
      </c>
      <c r="BH48" s="84">
        <f>BG48/BF48</f>
        <v>1</v>
      </c>
      <c r="BI48" s="100">
        <v>61305</v>
      </c>
      <c r="BJ48" s="91">
        <v>25381695.180000003</v>
      </c>
      <c r="BK48" s="100">
        <v>435</v>
      </c>
      <c r="BL48" s="91">
        <v>90562.79</v>
      </c>
      <c r="BM48" s="99">
        <v>14</v>
      </c>
      <c r="BN48" s="99">
        <v>13</v>
      </c>
      <c r="BO48" s="84">
        <f>BN48/BM48</f>
        <v>0.9285714285714286</v>
      </c>
      <c r="BP48" s="159" t="str">
        <f t="shared" si="0"/>
        <v>OK</v>
      </c>
      <c r="BQ48" s="226" t="s">
        <v>36</v>
      </c>
      <c r="BR48" s="227">
        <v>13</v>
      </c>
    </row>
    <row r="49" spans="1:70" x14ac:dyDescent="0.25">
      <c r="A49" s="16" t="s">
        <v>38</v>
      </c>
      <c r="B49" s="33">
        <v>1</v>
      </c>
      <c r="C49" s="33">
        <v>1</v>
      </c>
      <c r="D49" s="26">
        <v>1</v>
      </c>
      <c r="E49" s="26"/>
      <c r="F49" s="33">
        <v>1</v>
      </c>
      <c r="G49" s="33">
        <v>1</v>
      </c>
      <c r="H49" s="26">
        <v>1</v>
      </c>
      <c r="I49" s="44">
        <v>113</v>
      </c>
      <c r="J49" s="35">
        <v>43766</v>
      </c>
      <c r="K49" s="44">
        <v>0</v>
      </c>
      <c r="L49" s="35">
        <v>0</v>
      </c>
      <c r="M49" s="33"/>
      <c r="N49" s="33"/>
      <c r="O49" s="26"/>
      <c r="P49" s="26"/>
      <c r="Q49" s="33">
        <v>1</v>
      </c>
      <c r="R49" s="33">
        <v>0</v>
      </c>
      <c r="S49" s="26">
        <v>0</v>
      </c>
      <c r="T49" s="44">
        <v>216</v>
      </c>
      <c r="U49" s="35">
        <v>66849</v>
      </c>
      <c r="V49" s="44">
        <v>1</v>
      </c>
      <c r="W49" s="35">
        <v>156</v>
      </c>
      <c r="X49" s="26"/>
      <c r="Y49" s="75">
        <v>1</v>
      </c>
      <c r="Z49" s="75">
        <v>1</v>
      </c>
      <c r="AA49" s="26">
        <v>1</v>
      </c>
      <c r="AB49" s="101">
        <v>142</v>
      </c>
      <c r="AC49" s="35">
        <v>53759</v>
      </c>
      <c r="AD49" s="101">
        <v>0</v>
      </c>
      <c r="AE49" s="35">
        <v>0</v>
      </c>
      <c r="AF49" s="33">
        <v>3</v>
      </c>
      <c r="AG49" s="33">
        <v>3</v>
      </c>
      <c r="AH49" s="26">
        <v>1</v>
      </c>
      <c r="AI49" s="26"/>
      <c r="AJ49" s="75">
        <v>1</v>
      </c>
      <c r="AK49" s="75">
        <v>1</v>
      </c>
      <c r="AL49" s="26">
        <v>1</v>
      </c>
      <c r="AM49" s="35">
        <v>178</v>
      </c>
      <c r="AN49" s="35">
        <v>73033</v>
      </c>
      <c r="AO49" s="101">
        <v>1</v>
      </c>
      <c r="AP49" s="35">
        <v>512</v>
      </c>
      <c r="AQ49" s="33">
        <v>2</v>
      </c>
      <c r="AR49" s="33">
        <v>2</v>
      </c>
      <c r="AS49" s="26">
        <v>1</v>
      </c>
      <c r="AT49" s="26"/>
      <c r="AU49" s="75">
        <v>1</v>
      </c>
      <c r="AV49" s="75">
        <v>0</v>
      </c>
      <c r="AW49" s="26">
        <v>0</v>
      </c>
      <c r="AX49" s="35">
        <v>132</v>
      </c>
      <c r="AY49" s="35">
        <v>50595</v>
      </c>
      <c r="AZ49" s="101">
        <v>1</v>
      </c>
      <c r="BA49" s="35">
        <v>15</v>
      </c>
      <c r="BB49" s="33">
        <v>2</v>
      </c>
      <c r="BC49" s="33">
        <v>1</v>
      </c>
      <c r="BD49" s="26">
        <v>0.5</v>
      </c>
      <c r="BE49" s="26"/>
      <c r="BF49" s="99">
        <v>1</v>
      </c>
      <c r="BG49" s="99">
        <v>1</v>
      </c>
      <c r="BH49" s="84">
        <f>BG49/BF49</f>
        <v>1</v>
      </c>
      <c r="BI49" s="100">
        <v>138</v>
      </c>
      <c r="BJ49" s="91">
        <v>52125</v>
      </c>
      <c r="BK49" s="100">
        <v>2</v>
      </c>
      <c r="BL49" s="91">
        <v>615</v>
      </c>
      <c r="BM49" s="99">
        <v>2</v>
      </c>
      <c r="BN49" s="99">
        <v>2</v>
      </c>
      <c r="BO49" s="84">
        <f>BN49/BM49</f>
        <v>1</v>
      </c>
      <c r="BP49" s="159" t="str">
        <f t="shared" si="0"/>
        <v>OK</v>
      </c>
      <c r="BQ49" s="226" t="s">
        <v>38</v>
      </c>
      <c r="BR49" s="227">
        <v>2</v>
      </c>
    </row>
    <row r="50" spans="1:70" x14ac:dyDescent="0.25">
      <c r="A50" s="16" t="s">
        <v>39</v>
      </c>
      <c r="B50" s="33">
        <v>1</v>
      </c>
      <c r="C50" s="33">
        <v>1</v>
      </c>
      <c r="D50" s="26">
        <v>1</v>
      </c>
      <c r="E50" s="26"/>
      <c r="F50" s="33">
        <v>2</v>
      </c>
      <c r="G50" s="33">
        <v>1</v>
      </c>
      <c r="H50" s="26">
        <v>0.5</v>
      </c>
      <c r="I50" s="44">
        <v>27104</v>
      </c>
      <c r="J50" s="35">
        <v>4957954.3600000003</v>
      </c>
      <c r="K50" s="44">
        <v>897</v>
      </c>
      <c r="L50" s="35">
        <v>70043.87</v>
      </c>
      <c r="M50" s="33">
        <v>1</v>
      </c>
      <c r="N50" s="33">
        <v>1</v>
      </c>
      <c r="O50" s="26">
        <v>1</v>
      </c>
      <c r="P50" s="26"/>
      <c r="Q50" s="33">
        <v>2</v>
      </c>
      <c r="R50" s="33">
        <v>1</v>
      </c>
      <c r="S50" s="26">
        <v>0.5</v>
      </c>
      <c r="T50" s="44">
        <v>24468</v>
      </c>
      <c r="U50" s="35">
        <v>5184380.42</v>
      </c>
      <c r="V50" s="44">
        <v>582</v>
      </c>
      <c r="W50" s="35">
        <v>89092.02</v>
      </c>
      <c r="X50" s="26"/>
      <c r="Y50" s="75">
        <v>2</v>
      </c>
      <c r="Z50" s="75">
        <v>2</v>
      </c>
      <c r="AA50" s="26">
        <v>1</v>
      </c>
      <c r="AB50" s="101">
        <v>21609</v>
      </c>
      <c r="AC50" s="35">
        <v>4971768.0999999996</v>
      </c>
      <c r="AD50" s="101">
        <v>590</v>
      </c>
      <c r="AE50" s="35">
        <v>120419.92</v>
      </c>
      <c r="AF50" s="33">
        <v>4</v>
      </c>
      <c r="AG50" s="33">
        <v>3</v>
      </c>
      <c r="AH50" s="26">
        <v>0.75</v>
      </c>
      <c r="AI50" s="26"/>
      <c r="AJ50" s="75">
        <v>8</v>
      </c>
      <c r="AK50" s="75">
        <v>6</v>
      </c>
      <c r="AL50" s="26">
        <v>0.75</v>
      </c>
      <c r="AM50" s="35">
        <v>25758</v>
      </c>
      <c r="AN50" s="35">
        <v>6011516.4899999993</v>
      </c>
      <c r="AO50" s="101">
        <v>572</v>
      </c>
      <c r="AP50" s="35">
        <v>110842.5</v>
      </c>
      <c r="AQ50" s="33">
        <v>4</v>
      </c>
      <c r="AR50" s="33">
        <v>3</v>
      </c>
      <c r="AS50" s="26">
        <v>0.75</v>
      </c>
      <c r="AT50" s="26"/>
      <c r="AU50" s="75">
        <v>7</v>
      </c>
      <c r="AV50" s="75">
        <v>3</v>
      </c>
      <c r="AW50" s="26">
        <v>0.42857142857142855</v>
      </c>
      <c r="AX50" s="35">
        <v>23600</v>
      </c>
      <c r="AY50" s="35">
        <v>4396134.1999999993</v>
      </c>
      <c r="AZ50" s="101">
        <v>550</v>
      </c>
      <c r="BA50" s="35">
        <v>86402.010000000009</v>
      </c>
      <c r="BB50" s="33">
        <v>79</v>
      </c>
      <c r="BC50" s="33">
        <v>38</v>
      </c>
      <c r="BD50" s="26">
        <v>0.48101265822784811</v>
      </c>
      <c r="BE50" s="26"/>
      <c r="BF50" s="99">
        <v>3</v>
      </c>
      <c r="BG50" s="99">
        <v>2</v>
      </c>
      <c r="BH50" s="84">
        <f>BG50/BF50</f>
        <v>0.66666666666666663</v>
      </c>
      <c r="BI50" s="100">
        <v>16806</v>
      </c>
      <c r="BJ50" s="91">
        <v>2700059.15</v>
      </c>
      <c r="BK50" s="100">
        <v>356</v>
      </c>
      <c r="BL50" s="91">
        <v>48741.21</v>
      </c>
      <c r="BM50" s="99">
        <v>69</v>
      </c>
      <c r="BN50" s="99">
        <v>41</v>
      </c>
      <c r="BO50" s="84">
        <f>BN50/BM50</f>
        <v>0.59420289855072461</v>
      </c>
      <c r="BP50" s="159" t="str">
        <f t="shared" si="0"/>
        <v>OK</v>
      </c>
      <c r="BQ50" s="226" t="s">
        <v>39</v>
      </c>
      <c r="BR50" s="227">
        <v>41</v>
      </c>
    </row>
    <row r="51" spans="1:70" x14ac:dyDescent="0.25">
      <c r="A51" s="16" t="s">
        <v>40</v>
      </c>
      <c r="B51" s="33">
        <v>51</v>
      </c>
      <c r="C51" s="33">
        <v>50</v>
      </c>
      <c r="D51" s="26">
        <v>0.98039215686274506</v>
      </c>
      <c r="E51" s="26"/>
      <c r="F51" s="33">
        <v>56</v>
      </c>
      <c r="G51" s="33">
        <v>56</v>
      </c>
      <c r="H51" s="26">
        <v>1</v>
      </c>
      <c r="I51" s="44">
        <v>1005759</v>
      </c>
      <c r="J51" s="35">
        <v>12498526.379999997</v>
      </c>
      <c r="K51" s="44">
        <v>1976</v>
      </c>
      <c r="L51" s="35">
        <v>264872.97000000009</v>
      </c>
      <c r="M51" s="33">
        <v>66</v>
      </c>
      <c r="N51" s="33">
        <v>24</v>
      </c>
      <c r="O51" s="26">
        <v>0.36363636363636365</v>
      </c>
      <c r="P51" s="26"/>
      <c r="Q51" s="33">
        <v>55</v>
      </c>
      <c r="R51" s="33">
        <v>45</v>
      </c>
      <c r="S51" s="26">
        <v>0.81818181818181823</v>
      </c>
      <c r="T51" s="44">
        <v>1064559</v>
      </c>
      <c r="U51" s="35">
        <v>13735016.200000001</v>
      </c>
      <c r="V51" s="44">
        <v>1714</v>
      </c>
      <c r="W51" s="35">
        <v>262181</v>
      </c>
      <c r="X51" s="26"/>
      <c r="Y51" s="75">
        <v>56</v>
      </c>
      <c r="Z51" s="75">
        <v>42</v>
      </c>
      <c r="AA51" s="26">
        <v>0.75</v>
      </c>
      <c r="AB51" s="101">
        <v>1216259</v>
      </c>
      <c r="AC51" s="35">
        <v>14897130.689999996</v>
      </c>
      <c r="AD51" s="101">
        <v>2099</v>
      </c>
      <c r="AE51" s="35">
        <v>274741.82</v>
      </c>
      <c r="AF51" s="33">
        <v>48</v>
      </c>
      <c r="AG51" s="33">
        <v>21</v>
      </c>
      <c r="AH51" s="26">
        <v>0.4375</v>
      </c>
      <c r="AI51" s="26"/>
      <c r="AJ51" s="75">
        <v>54</v>
      </c>
      <c r="AK51" s="75">
        <v>52</v>
      </c>
      <c r="AL51" s="26">
        <v>0.96296296296296291</v>
      </c>
      <c r="AM51" s="35">
        <v>1258413</v>
      </c>
      <c r="AN51" s="35">
        <v>17671264.09</v>
      </c>
      <c r="AO51" s="101">
        <v>1637</v>
      </c>
      <c r="AP51" s="35">
        <v>307182.18999999989</v>
      </c>
      <c r="AQ51" s="33">
        <v>49</v>
      </c>
      <c r="AR51" s="33">
        <v>23</v>
      </c>
      <c r="AS51" s="26">
        <v>0.46938775510204084</v>
      </c>
      <c r="AT51" s="26"/>
      <c r="AU51" s="75">
        <v>50</v>
      </c>
      <c r="AV51" s="75">
        <v>47</v>
      </c>
      <c r="AW51" s="26">
        <v>0.94</v>
      </c>
      <c r="AX51" s="35">
        <v>1242335</v>
      </c>
      <c r="AY51" s="35">
        <v>16636398.400000004</v>
      </c>
      <c r="AZ51" s="101">
        <v>1344</v>
      </c>
      <c r="BA51" s="35">
        <v>289031.95000000007</v>
      </c>
      <c r="BB51" s="33">
        <v>40</v>
      </c>
      <c r="BC51" s="33">
        <v>20</v>
      </c>
      <c r="BD51" s="26">
        <v>0.5</v>
      </c>
      <c r="BE51" s="26"/>
      <c r="BF51" s="99">
        <v>55</v>
      </c>
      <c r="BG51" s="99">
        <v>48</v>
      </c>
      <c r="BH51" s="84">
        <f>BG51/BF51</f>
        <v>0.87272727272727268</v>
      </c>
      <c r="BI51" s="100">
        <v>955328</v>
      </c>
      <c r="BJ51" s="91">
        <v>13358086.08</v>
      </c>
      <c r="BK51" s="100">
        <v>6125</v>
      </c>
      <c r="BL51" s="91">
        <v>824949.28999999992</v>
      </c>
      <c r="BM51" s="99">
        <v>44</v>
      </c>
      <c r="BN51" s="99">
        <v>40</v>
      </c>
      <c r="BO51" s="84">
        <f>BN51/BM51</f>
        <v>0.90909090909090906</v>
      </c>
      <c r="BP51" s="159" t="str">
        <f t="shared" si="0"/>
        <v>OK</v>
      </c>
      <c r="BQ51" s="226" t="s">
        <v>40</v>
      </c>
      <c r="BR51" s="227">
        <v>40</v>
      </c>
    </row>
    <row r="52" spans="1:70" x14ac:dyDescent="0.25">
      <c r="A52" s="16"/>
      <c r="B52" s="33"/>
      <c r="C52" s="33"/>
      <c r="D52" s="34"/>
      <c r="E52" s="34"/>
      <c r="F52" s="33"/>
      <c r="G52" s="33"/>
      <c r="H52" s="34"/>
      <c r="I52" s="16"/>
      <c r="J52" s="16"/>
      <c r="K52" s="16"/>
      <c r="L52" s="16"/>
      <c r="M52" s="33"/>
      <c r="N52" s="33"/>
      <c r="O52" s="34"/>
      <c r="P52" s="34"/>
      <c r="Q52" s="33"/>
      <c r="R52" s="33"/>
      <c r="S52" s="34"/>
      <c r="T52" s="16"/>
      <c r="U52" s="16"/>
      <c r="V52" s="16"/>
      <c r="W52" s="16"/>
      <c r="X52" s="34"/>
      <c r="Y52" s="33"/>
      <c r="Z52" s="33"/>
      <c r="AA52" s="34"/>
      <c r="AB52" s="16"/>
      <c r="AC52" s="16"/>
      <c r="AD52" s="16"/>
      <c r="AE52" s="16"/>
      <c r="AF52" s="33"/>
      <c r="AG52" s="33"/>
      <c r="AH52" s="34"/>
      <c r="AI52" s="34"/>
      <c r="AJ52" s="33"/>
      <c r="AK52" s="33"/>
      <c r="AL52" s="34"/>
      <c r="AM52" s="16"/>
      <c r="AN52" s="16"/>
      <c r="AO52" s="16"/>
      <c r="AP52" s="16"/>
      <c r="AQ52" s="33"/>
      <c r="AR52" s="33"/>
      <c r="AS52" s="34"/>
      <c r="AT52" s="34"/>
      <c r="AU52" s="33"/>
      <c r="AV52" s="33"/>
      <c r="AW52" s="34"/>
      <c r="AX52" s="16"/>
      <c r="AY52" s="16"/>
      <c r="AZ52" s="16"/>
      <c r="BA52" s="16"/>
      <c r="BB52" s="33"/>
      <c r="BC52" s="33"/>
      <c r="BD52" s="34"/>
      <c r="BE52" s="34"/>
      <c r="BF52" s="33"/>
      <c r="BG52" s="33"/>
      <c r="BH52" s="34"/>
      <c r="BI52" s="16"/>
      <c r="BJ52" s="16"/>
      <c r="BK52" s="16"/>
      <c r="BL52" s="16"/>
      <c r="BM52" s="33"/>
      <c r="BN52" s="33"/>
      <c r="BO52" s="86"/>
      <c r="BP52" s="159"/>
      <c r="BQ52" s="226"/>
      <c r="BR52" s="227"/>
    </row>
    <row r="53" spans="1:70" ht="15.75" thickBot="1" x14ac:dyDescent="0.3">
      <c r="A53" s="25" t="s">
        <v>123</v>
      </c>
      <c r="B53" s="28">
        <v>490</v>
      </c>
      <c r="C53" s="28">
        <v>383</v>
      </c>
      <c r="D53" s="27">
        <v>0.78163265306122454</v>
      </c>
      <c r="E53" s="303"/>
      <c r="F53" s="28">
        <v>496</v>
      </c>
      <c r="G53" s="28">
        <v>410</v>
      </c>
      <c r="H53" s="27">
        <v>0.82661290322580649</v>
      </c>
      <c r="I53" s="28">
        <v>2689172</v>
      </c>
      <c r="J53" s="36">
        <v>209387435.44</v>
      </c>
      <c r="K53" s="28">
        <v>9442</v>
      </c>
      <c r="L53" s="36">
        <v>2046400.3100000005</v>
      </c>
      <c r="M53" s="28">
        <v>1316</v>
      </c>
      <c r="N53" s="28">
        <v>660</v>
      </c>
      <c r="O53" s="27">
        <v>0.50151975683890582</v>
      </c>
      <c r="P53" s="303"/>
      <c r="Q53" s="28">
        <v>518</v>
      </c>
      <c r="R53" s="28">
        <v>393</v>
      </c>
      <c r="S53" s="27">
        <v>0.75868725868725873</v>
      </c>
      <c r="T53" s="28">
        <v>2894708</v>
      </c>
      <c r="U53" s="36">
        <v>243021025.54000002</v>
      </c>
      <c r="V53" s="28">
        <v>12128</v>
      </c>
      <c r="W53" s="36">
        <v>2225962.7599999998</v>
      </c>
      <c r="X53" s="303"/>
      <c r="Y53" s="28">
        <v>512</v>
      </c>
      <c r="Z53" s="28">
        <v>402</v>
      </c>
      <c r="AA53" s="27">
        <v>0.78515625</v>
      </c>
      <c r="AB53" s="28">
        <v>3135445</v>
      </c>
      <c r="AC53" s="36">
        <v>249876790.96999994</v>
      </c>
      <c r="AD53" s="28">
        <v>9289</v>
      </c>
      <c r="AE53" s="36">
        <v>2347287.4700000002</v>
      </c>
      <c r="AF53" s="28">
        <v>1508</v>
      </c>
      <c r="AG53" s="28">
        <v>1009</v>
      </c>
      <c r="AH53" s="27">
        <v>0.66909814323607431</v>
      </c>
      <c r="AI53" s="303"/>
      <c r="AJ53" s="28">
        <v>528</v>
      </c>
      <c r="AK53" s="28">
        <v>431</v>
      </c>
      <c r="AL53" s="27">
        <v>0.81628787878787878</v>
      </c>
      <c r="AM53" s="36">
        <v>3240700</v>
      </c>
      <c r="AN53" s="36">
        <v>282596116.08000004</v>
      </c>
      <c r="AO53" s="28">
        <v>11025</v>
      </c>
      <c r="AP53" s="36">
        <v>2491210.1699999995</v>
      </c>
      <c r="AQ53" s="28">
        <v>1380</v>
      </c>
      <c r="AR53" s="28">
        <v>889</v>
      </c>
      <c r="AS53" s="27">
        <v>0.64420289855072466</v>
      </c>
      <c r="AT53" s="303"/>
      <c r="AU53" s="28">
        <v>522</v>
      </c>
      <c r="AV53" s="28">
        <v>436</v>
      </c>
      <c r="AW53" s="27">
        <v>0.83524904214559392</v>
      </c>
      <c r="AX53" s="36">
        <v>3353702</v>
      </c>
      <c r="AY53" s="36">
        <v>305196543.88</v>
      </c>
      <c r="AZ53" s="28">
        <v>11239</v>
      </c>
      <c r="BA53" s="36">
        <v>2396525.3400000003</v>
      </c>
      <c r="BB53" s="28">
        <v>1450</v>
      </c>
      <c r="BC53" s="28">
        <v>955</v>
      </c>
      <c r="BD53" s="27">
        <v>0.6586206896551724</v>
      </c>
      <c r="BE53" s="303"/>
      <c r="BF53" s="319">
        <f>SUM(BF6:BF51)</f>
        <v>554</v>
      </c>
      <c r="BG53" s="319">
        <f>SUM(BG6:BG51)</f>
        <v>475</v>
      </c>
      <c r="BH53" s="85">
        <f>BG53/BF53</f>
        <v>0.85740072202166062</v>
      </c>
      <c r="BI53" s="317">
        <f>SUM(BI6:BI51)</f>
        <v>2807717</v>
      </c>
      <c r="BJ53" s="317">
        <f t="shared" ref="BJ53:BL53" si="5">SUM(BJ6:BJ51)</f>
        <v>248685002.66999993</v>
      </c>
      <c r="BK53" s="317">
        <f t="shared" si="5"/>
        <v>27878</v>
      </c>
      <c r="BL53" s="317">
        <f t="shared" si="5"/>
        <v>4966353.8500000006</v>
      </c>
      <c r="BM53" s="317">
        <f>SUM(BM6:BM51)</f>
        <v>963</v>
      </c>
      <c r="BN53" s="317">
        <f>SUM(BN6:BN51)</f>
        <v>718</v>
      </c>
      <c r="BO53" s="85">
        <f>BN53/BM53</f>
        <v>0.74558670820353068</v>
      </c>
      <c r="BP53" s="159"/>
      <c r="BQ53" s="226"/>
      <c r="BR53" s="227">
        <f>SUM(BR6:BR52)</f>
        <v>718</v>
      </c>
    </row>
    <row r="54" spans="1:70" ht="15.75" thickTop="1" x14ac:dyDescent="0.25">
      <c r="BQ54" s="226"/>
      <c r="BR54" s="227"/>
    </row>
    <row r="55" spans="1:70" x14ac:dyDescent="0.25">
      <c r="BQ55" s="226"/>
      <c r="BR55" s="227"/>
    </row>
    <row r="56" spans="1:70" x14ac:dyDescent="0.25">
      <c r="BQ56" s="226"/>
      <c r="BR56" s="227"/>
    </row>
    <row r="57" spans="1:70" x14ac:dyDescent="0.25">
      <c r="BQ57" s="226"/>
      <c r="BR57" s="227"/>
    </row>
    <row r="58" spans="1:70" x14ac:dyDescent="0.25">
      <c r="BQ58" s="226"/>
      <c r="BR58" s="227"/>
    </row>
    <row r="59" spans="1:70" x14ac:dyDescent="0.25">
      <c r="BQ59" s="226"/>
      <c r="BR59" s="227"/>
    </row>
    <row r="60" spans="1:70" x14ac:dyDescent="0.25">
      <c r="BQ60" s="226"/>
      <c r="BR60" s="227"/>
    </row>
    <row r="61" spans="1:70" x14ac:dyDescent="0.25">
      <c r="BQ61" s="226"/>
      <c r="BR61" s="227"/>
    </row>
    <row r="62" spans="1:70" x14ac:dyDescent="0.25">
      <c r="BQ62" s="226"/>
      <c r="BR62" s="227"/>
    </row>
    <row r="63" spans="1:70" x14ac:dyDescent="0.25">
      <c r="BQ63" s="226"/>
      <c r="BR63" s="227"/>
    </row>
    <row r="64" spans="1:70" x14ac:dyDescent="0.25">
      <c r="BQ64" s="226"/>
      <c r="BR64" s="227"/>
    </row>
    <row r="65" spans="69:70" x14ac:dyDescent="0.25">
      <c r="BQ65" s="226"/>
      <c r="BR65" s="227"/>
    </row>
    <row r="66" spans="69:70" x14ac:dyDescent="0.25">
      <c r="BQ66" s="226"/>
      <c r="BR66" s="227"/>
    </row>
    <row r="67" spans="69:70" x14ac:dyDescent="0.25">
      <c r="BQ67" s="226"/>
      <c r="BR67" s="227"/>
    </row>
    <row r="68" spans="69:70" x14ac:dyDescent="0.25">
      <c r="BQ68" s="226"/>
      <c r="BR68" s="227"/>
    </row>
    <row r="69" spans="69:70" x14ac:dyDescent="0.25">
      <c r="BQ69" s="226"/>
      <c r="BR69" s="227"/>
    </row>
    <row r="70" spans="69:70" x14ac:dyDescent="0.25">
      <c r="BQ70" s="226"/>
      <c r="BR70" s="227"/>
    </row>
    <row r="71" spans="69:70" x14ac:dyDescent="0.25">
      <c r="BQ71" s="226"/>
      <c r="BR71" s="227"/>
    </row>
    <row r="72" spans="69:70" x14ac:dyDescent="0.25">
      <c r="BQ72" s="226"/>
      <c r="BR72" s="227"/>
    </row>
    <row r="73" spans="69:70" x14ac:dyDescent="0.25">
      <c r="BQ73" s="226"/>
      <c r="BR73" s="227"/>
    </row>
    <row r="74" spans="69:70" x14ac:dyDescent="0.25">
      <c r="BQ74" s="226"/>
      <c r="BR74" s="227"/>
    </row>
    <row r="75" spans="69:70" x14ac:dyDescent="0.25">
      <c r="BQ75" s="226"/>
      <c r="BR75" s="227"/>
    </row>
    <row r="76" spans="69:70" x14ac:dyDescent="0.25">
      <c r="BQ76" s="226"/>
      <c r="BR76" s="227"/>
    </row>
    <row r="77" spans="69:70" x14ac:dyDescent="0.25">
      <c r="BQ77" s="226"/>
      <c r="BR77" s="227"/>
    </row>
    <row r="78" spans="69:70" x14ac:dyDescent="0.25">
      <c r="BQ78" s="226"/>
      <c r="BR78" s="227"/>
    </row>
    <row r="79" spans="69:70" x14ac:dyDescent="0.25">
      <c r="BQ79" s="226"/>
      <c r="BR79" s="227"/>
    </row>
    <row r="80" spans="69:70" x14ac:dyDescent="0.25">
      <c r="BQ80" s="226"/>
      <c r="BR80" s="227"/>
    </row>
    <row r="81" spans="69:70" x14ac:dyDescent="0.25">
      <c r="BQ81" s="226"/>
      <c r="BR81" s="227"/>
    </row>
    <row r="82" spans="69:70" x14ac:dyDescent="0.25">
      <c r="BQ82" s="226"/>
      <c r="BR82" s="227"/>
    </row>
    <row r="83" spans="69:70" x14ac:dyDescent="0.25">
      <c r="BQ83" s="226"/>
      <c r="BR83" s="227"/>
    </row>
    <row r="84" spans="69:70" x14ac:dyDescent="0.25">
      <c r="BQ84" s="226"/>
      <c r="BR84" s="227"/>
    </row>
    <row r="85" spans="69:70" x14ac:dyDescent="0.25">
      <c r="BQ85" s="226"/>
      <c r="BR85" s="227"/>
    </row>
    <row r="86" spans="69:70" x14ac:dyDescent="0.25">
      <c r="BQ86" s="226"/>
      <c r="BR86" s="227"/>
    </row>
    <row r="87" spans="69:70" x14ac:dyDescent="0.25">
      <c r="BQ87" s="226"/>
      <c r="BR87" s="227"/>
    </row>
    <row r="88" spans="69:70" x14ac:dyDescent="0.25">
      <c r="BQ88" s="226"/>
      <c r="BR88" s="227"/>
    </row>
    <row r="89" spans="69:70" x14ac:dyDescent="0.25">
      <c r="BQ89" s="226"/>
      <c r="BR89" s="227"/>
    </row>
    <row r="90" spans="69:70" x14ac:dyDescent="0.25">
      <c r="BQ90" s="226"/>
      <c r="BR90" s="227"/>
    </row>
    <row r="91" spans="69:70" x14ac:dyDescent="0.25">
      <c r="BQ91" s="226"/>
      <c r="BR91" s="227"/>
    </row>
    <row r="92" spans="69:70" x14ac:dyDescent="0.25">
      <c r="BQ92" s="226"/>
      <c r="BR92" s="227"/>
    </row>
    <row r="93" spans="69:70" x14ac:dyDescent="0.25">
      <c r="BQ93" s="226"/>
      <c r="BR93" s="227"/>
    </row>
    <row r="94" spans="69:70" x14ac:dyDescent="0.25">
      <c r="BQ94" s="226"/>
      <c r="BR94" s="227"/>
    </row>
    <row r="95" spans="69:70" x14ac:dyDescent="0.25">
      <c r="BQ95" s="226"/>
      <c r="BR95" s="227"/>
    </row>
    <row r="96" spans="69:70" x14ac:dyDescent="0.25">
      <c r="BQ96" s="226"/>
      <c r="BR96" s="227"/>
    </row>
    <row r="97" spans="69:70" x14ac:dyDescent="0.25">
      <c r="BQ97" s="226"/>
      <c r="BR97" s="227"/>
    </row>
    <row r="98" spans="69:70" x14ac:dyDescent="0.25">
      <c r="BQ98" s="226"/>
      <c r="BR98" s="227"/>
    </row>
    <row r="99" spans="69:70" x14ac:dyDescent="0.25">
      <c r="BQ99" s="226"/>
      <c r="BR99" s="227"/>
    </row>
    <row r="100" spans="69:70" x14ac:dyDescent="0.25">
      <c r="BQ100" s="226"/>
      <c r="BR100" s="227"/>
    </row>
    <row r="101" spans="69:70" x14ac:dyDescent="0.25">
      <c r="BQ101" s="226"/>
      <c r="BR101" s="227"/>
    </row>
    <row r="102" spans="69:70" x14ac:dyDescent="0.25">
      <c r="BQ102" s="226"/>
      <c r="BR102" s="227"/>
    </row>
    <row r="103" spans="69:70" x14ac:dyDescent="0.25">
      <c r="BQ103" s="226"/>
      <c r="BR103" s="227"/>
    </row>
    <row r="104" spans="69:70" x14ac:dyDescent="0.25">
      <c r="BQ104" s="226"/>
      <c r="BR104" s="227"/>
    </row>
    <row r="105" spans="69:70" x14ac:dyDescent="0.25">
      <c r="BQ105" s="226"/>
      <c r="BR105" s="227"/>
    </row>
    <row r="106" spans="69:70" x14ac:dyDescent="0.25">
      <c r="BQ106" s="226"/>
      <c r="BR106" s="227"/>
    </row>
    <row r="107" spans="69:70" x14ac:dyDescent="0.25">
      <c r="BQ107" s="226"/>
      <c r="BR107" s="227"/>
    </row>
    <row r="108" spans="69:70" x14ac:dyDescent="0.25">
      <c r="BQ108" s="226"/>
      <c r="BR108" s="227"/>
    </row>
    <row r="109" spans="69:70" x14ac:dyDescent="0.25">
      <c r="BQ109" s="226"/>
      <c r="BR109" s="227"/>
    </row>
    <row r="110" spans="69:70" x14ac:dyDescent="0.25">
      <c r="BQ110" s="226"/>
      <c r="BR110" s="227"/>
    </row>
    <row r="111" spans="69:70" x14ac:dyDescent="0.25">
      <c r="BQ111" s="226"/>
      <c r="BR111" s="227"/>
    </row>
    <row r="112" spans="69:70" x14ac:dyDescent="0.25">
      <c r="BQ112" s="226"/>
      <c r="BR112" s="227"/>
    </row>
    <row r="113" spans="69:70" x14ac:dyDescent="0.25">
      <c r="BQ113" s="226"/>
      <c r="BR113" s="227"/>
    </row>
    <row r="114" spans="69:70" x14ac:dyDescent="0.25">
      <c r="BQ114" s="226"/>
      <c r="BR114" s="227"/>
    </row>
    <row r="115" spans="69:70" x14ac:dyDescent="0.25">
      <c r="BQ115" s="226"/>
      <c r="BR115" s="227"/>
    </row>
    <row r="116" spans="69:70" x14ac:dyDescent="0.25">
      <c r="BQ116" s="226"/>
      <c r="BR116" s="227"/>
    </row>
    <row r="117" spans="69:70" x14ac:dyDescent="0.25">
      <c r="BQ117" s="226"/>
      <c r="BR117" s="227"/>
    </row>
    <row r="118" spans="69:70" x14ac:dyDescent="0.25">
      <c r="BQ118" s="226"/>
      <c r="BR118" s="227"/>
    </row>
    <row r="119" spans="69:70" x14ac:dyDescent="0.25">
      <c r="BQ119" s="226"/>
      <c r="BR119" s="227"/>
    </row>
    <row r="120" spans="69:70" x14ac:dyDescent="0.25">
      <c r="BQ120" s="226"/>
      <c r="BR120" s="227"/>
    </row>
    <row r="121" spans="69:70" x14ac:dyDescent="0.25">
      <c r="BQ121" s="226"/>
      <c r="BR121" s="227"/>
    </row>
    <row r="122" spans="69:70" x14ac:dyDescent="0.25">
      <c r="BQ122" s="226"/>
      <c r="BR122" s="227"/>
    </row>
    <row r="123" spans="69:70" x14ac:dyDescent="0.25">
      <c r="BQ123" s="226"/>
      <c r="BR123" s="227"/>
    </row>
    <row r="124" spans="69:70" x14ac:dyDescent="0.25">
      <c r="BQ124" s="226"/>
      <c r="BR124" s="227"/>
    </row>
    <row r="125" spans="69:70" x14ac:dyDescent="0.25">
      <c r="BQ125" s="226"/>
      <c r="BR125" s="227"/>
    </row>
    <row r="126" spans="69:70" x14ac:dyDescent="0.25">
      <c r="BQ126" s="226"/>
      <c r="BR126" s="227"/>
    </row>
    <row r="127" spans="69:70" x14ac:dyDescent="0.25">
      <c r="BQ127" s="226"/>
      <c r="BR127" s="227"/>
    </row>
    <row r="128" spans="69:70" x14ac:dyDescent="0.25">
      <c r="BQ128" s="226"/>
      <c r="BR128" s="227"/>
    </row>
    <row r="129" spans="69:70" x14ac:dyDescent="0.25">
      <c r="BQ129" s="226"/>
      <c r="BR129" s="227"/>
    </row>
    <row r="130" spans="69:70" x14ac:dyDescent="0.25">
      <c r="BQ130" s="226"/>
      <c r="BR130" s="227"/>
    </row>
    <row r="131" spans="69:70" x14ac:dyDescent="0.25">
      <c r="BQ131" s="226"/>
      <c r="BR131" s="227"/>
    </row>
    <row r="132" spans="69:70" x14ac:dyDescent="0.25">
      <c r="BQ132" s="226"/>
      <c r="BR132" s="227"/>
    </row>
    <row r="133" spans="69:70" x14ac:dyDescent="0.25">
      <c r="BQ133" s="226"/>
      <c r="BR133" s="227"/>
    </row>
    <row r="134" spans="69:70" x14ac:dyDescent="0.25">
      <c r="BQ134" s="226"/>
      <c r="BR134" s="227"/>
    </row>
    <row r="135" spans="69:70" x14ac:dyDescent="0.25">
      <c r="BQ135" s="226"/>
      <c r="BR135" s="227"/>
    </row>
    <row r="136" spans="69:70" x14ac:dyDescent="0.25">
      <c r="BQ136" s="226"/>
      <c r="BR136" s="227"/>
    </row>
    <row r="137" spans="69:70" x14ac:dyDescent="0.25">
      <c r="BQ137" s="226"/>
      <c r="BR137" s="227"/>
    </row>
    <row r="138" spans="69:70" x14ac:dyDescent="0.25">
      <c r="BQ138" s="226"/>
      <c r="BR138" s="227"/>
    </row>
    <row r="139" spans="69:70" x14ac:dyDescent="0.25">
      <c r="BQ139" s="226"/>
      <c r="BR139" s="227"/>
    </row>
    <row r="140" spans="69:70" x14ac:dyDescent="0.25">
      <c r="BQ140" s="226"/>
      <c r="BR140" s="227"/>
    </row>
    <row r="141" spans="69:70" x14ac:dyDescent="0.25">
      <c r="BQ141" s="226"/>
      <c r="BR141" s="227"/>
    </row>
    <row r="142" spans="69:70" x14ac:dyDescent="0.25">
      <c r="BQ142" s="226"/>
      <c r="BR142" s="227"/>
    </row>
    <row r="143" spans="69:70" x14ac:dyDescent="0.25">
      <c r="BQ143" s="226"/>
      <c r="BR143" s="227"/>
    </row>
    <row r="144" spans="69:70" x14ac:dyDescent="0.25">
      <c r="BQ144" s="226"/>
      <c r="BR144" s="227"/>
    </row>
    <row r="145" spans="69:70" x14ac:dyDescent="0.25">
      <c r="BQ145" s="226"/>
      <c r="BR145" s="227"/>
    </row>
    <row r="146" spans="69:70" x14ac:dyDescent="0.25">
      <c r="BQ146" s="226"/>
      <c r="BR146" s="227"/>
    </row>
  </sheetData>
  <sortState ref="A6:BA51">
    <sortCondition ref="A6"/>
  </sortState>
  <mergeCells count="18">
    <mergeCell ref="AM3:AP3"/>
    <mergeCell ref="B3:D3"/>
    <mergeCell ref="F3:H3"/>
    <mergeCell ref="I3:L3"/>
    <mergeCell ref="M3:O3"/>
    <mergeCell ref="Q3:S3"/>
    <mergeCell ref="T3:W3"/>
    <mergeCell ref="Y3:AA3"/>
    <mergeCell ref="AB3:AE3"/>
    <mergeCell ref="AF3:AH3"/>
    <mergeCell ref="AJ3:AL3"/>
    <mergeCell ref="BM3:BO3"/>
    <mergeCell ref="AQ3:AS3"/>
    <mergeCell ref="AU3:AW3"/>
    <mergeCell ref="BF3:BH3"/>
    <mergeCell ref="AX3:BA3"/>
    <mergeCell ref="BB3:BD3"/>
    <mergeCell ref="BI3:BL3"/>
  </mergeCells>
  <pageMargins left="0.7" right="0.7" top="0.75" bottom="0.75" header="0.3" footer="0.3"/>
  <pageSetup orientation="portrait"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B54"/>
  <sheetViews>
    <sheetView workbookViewId="0">
      <pane xSplit="1" ySplit="5" topLeftCell="O39"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2" max="2" width="12.5703125" bestFit="1" customWidth="1"/>
    <col min="3" max="3" width="1.7109375" customWidth="1"/>
    <col min="4" max="4" width="12.5703125" bestFit="1" customWidth="1"/>
    <col min="5" max="5" width="1.7109375" customWidth="1"/>
    <col min="6" max="6" width="12.5703125" bestFit="1" customWidth="1"/>
    <col min="8" max="8" width="11.5703125" bestFit="1" customWidth="1"/>
    <col min="9" max="9" width="1.7109375" customWidth="1"/>
    <col min="10" max="10" width="12.5703125" bestFit="1" customWidth="1"/>
    <col min="12" max="12" width="11.5703125" bestFit="1" customWidth="1"/>
    <col min="13" max="13" width="1.7109375" customWidth="1"/>
    <col min="14" max="14" width="12.5703125" bestFit="1" customWidth="1"/>
    <col min="16" max="16" width="11.5703125" bestFit="1" customWidth="1"/>
    <col min="17" max="17" width="1.7109375" customWidth="1"/>
    <col min="18" max="18" width="12.5703125" bestFit="1" customWidth="1"/>
    <col min="20" max="20" width="11.5703125" bestFit="1" customWidth="1"/>
    <col min="21" max="21" width="1.7109375" customWidth="1"/>
    <col min="22" max="22" width="12.5703125" bestFit="1" customWidth="1"/>
    <col min="24" max="24" width="11.5703125" bestFit="1" customWidth="1"/>
    <col min="26" max="26" width="27.7109375" customWidth="1"/>
    <col min="28" max="28" width="12" bestFit="1" customWidth="1"/>
  </cols>
  <sheetData>
    <row r="1" spans="1:28"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row>
    <row r="2" spans="1:28" x14ac:dyDescent="0.25">
      <c r="B2" s="46" t="s">
        <v>98</v>
      </c>
      <c r="C2" s="38"/>
      <c r="D2" s="46"/>
      <c r="E2" s="38"/>
      <c r="F2" s="46"/>
      <c r="G2" s="46"/>
      <c r="H2" s="46"/>
      <c r="I2" s="38"/>
      <c r="J2" s="46"/>
      <c r="K2" s="46"/>
      <c r="L2" s="46"/>
      <c r="M2" s="38"/>
      <c r="N2" s="46"/>
      <c r="O2" s="46"/>
      <c r="P2" s="46"/>
      <c r="Q2" s="38"/>
      <c r="R2" s="46"/>
      <c r="S2" s="46"/>
      <c r="T2" s="46"/>
      <c r="U2" s="38"/>
      <c r="V2" s="46"/>
      <c r="W2" s="45"/>
      <c r="X2" s="46"/>
    </row>
    <row r="3" spans="1:28" x14ac:dyDescent="0.25">
      <c r="B3" s="47" t="s">
        <v>150</v>
      </c>
      <c r="C3" s="73"/>
      <c r="D3" s="47" t="s">
        <v>150</v>
      </c>
      <c r="E3" s="73"/>
      <c r="F3" s="47" t="s">
        <v>150</v>
      </c>
      <c r="G3" s="339" t="s">
        <v>151</v>
      </c>
      <c r="H3" s="339"/>
      <c r="I3" s="73"/>
      <c r="J3" s="47" t="s">
        <v>150</v>
      </c>
      <c r="K3" s="339" t="s">
        <v>151</v>
      </c>
      <c r="L3" s="339"/>
      <c r="M3" s="73"/>
      <c r="N3" s="47" t="s">
        <v>150</v>
      </c>
      <c r="O3" s="339" t="s">
        <v>151</v>
      </c>
      <c r="P3" s="339"/>
      <c r="Q3" s="73"/>
      <c r="R3" s="47" t="s">
        <v>150</v>
      </c>
      <c r="S3" s="339" t="s">
        <v>151</v>
      </c>
      <c r="T3" s="339"/>
      <c r="U3" s="73"/>
      <c r="V3" s="47" t="s">
        <v>150</v>
      </c>
      <c r="W3" s="339" t="s">
        <v>151</v>
      </c>
      <c r="X3" s="339"/>
    </row>
    <row r="4" spans="1:28" x14ac:dyDescent="0.25">
      <c r="B4" s="25">
        <v>2014</v>
      </c>
      <c r="C4" s="25"/>
      <c r="D4" s="25">
        <v>2015</v>
      </c>
      <c r="E4" s="25"/>
      <c r="F4" s="25">
        <v>2016</v>
      </c>
      <c r="G4" s="25">
        <v>2016</v>
      </c>
      <c r="H4" s="25">
        <v>2016</v>
      </c>
      <c r="I4" s="25"/>
      <c r="J4" s="25">
        <v>2017</v>
      </c>
      <c r="K4" s="25">
        <v>2017</v>
      </c>
      <c r="L4" s="25">
        <v>2017</v>
      </c>
      <c r="M4" s="25"/>
      <c r="N4" s="25">
        <v>2018</v>
      </c>
      <c r="O4" s="25">
        <v>2018</v>
      </c>
      <c r="P4" s="25">
        <v>2018</v>
      </c>
      <c r="Q4" s="25"/>
      <c r="R4" s="25">
        <v>2019</v>
      </c>
      <c r="S4" s="25">
        <v>2019</v>
      </c>
      <c r="T4" s="25">
        <v>2019</v>
      </c>
      <c r="U4" s="25"/>
      <c r="V4" s="25">
        <v>2020</v>
      </c>
      <c r="W4" s="25">
        <v>2020</v>
      </c>
      <c r="X4" s="25">
        <v>2020</v>
      </c>
      <c r="Z4" t="s">
        <v>364</v>
      </c>
      <c r="AA4" t="s">
        <v>47</v>
      </c>
      <c r="AB4" t="s">
        <v>49</v>
      </c>
    </row>
    <row r="5" spans="1:28" ht="18" customHeight="1" x14ac:dyDescent="0.25">
      <c r="A5" s="40" t="s">
        <v>44</v>
      </c>
      <c r="B5" s="41" t="s">
        <v>49</v>
      </c>
      <c r="C5" s="41"/>
      <c r="D5" s="41" t="s">
        <v>49</v>
      </c>
      <c r="E5" s="41"/>
      <c r="F5" s="41" t="s">
        <v>49</v>
      </c>
      <c r="G5" s="41" t="s">
        <v>47</v>
      </c>
      <c r="H5" s="41" t="s">
        <v>49</v>
      </c>
      <c r="I5" s="41"/>
      <c r="J5" s="41" t="s">
        <v>49</v>
      </c>
      <c r="K5" s="41" t="s">
        <v>47</v>
      </c>
      <c r="L5" s="41" t="s">
        <v>49</v>
      </c>
      <c r="M5" s="41"/>
      <c r="N5" s="41" t="s">
        <v>49</v>
      </c>
      <c r="O5" s="41" t="s">
        <v>47</v>
      </c>
      <c r="P5" s="41" t="s">
        <v>49</v>
      </c>
      <c r="Q5" s="41"/>
      <c r="R5" s="41" t="s">
        <v>49</v>
      </c>
      <c r="S5" s="41" t="s">
        <v>47</v>
      </c>
      <c r="T5" s="41" t="s">
        <v>49</v>
      </c>
      <c r="U5" s="41"/>
      <c r="V5" s="41" t="s">
        <v>49</v>
      </c>
      <c r="W5" s="41" t="s">
        <v>47</v>
      </c>
      <c r="X5" s="41" t="s">
        <v>49</v>
      </c>
    </row>
    <row r="6" spans="1:28" x14ac:dyDescent="0.25">
      <c r="A6" s="16" t="s">
        <v>0</v>
      </c>
      <c r="B6" s="35">
        <v>11538356.469999999</v>
      </c>
      <c r="C6" s="35"/>
      <c r="D6" s="35">
        <v>5463717.2699999996</v>
      </c>
      <c r="E6" s="35"/>
      <c r="F6" s="35">
        <v>2562992</v>
      </c>
      <c r="G6" s="44">
        <v>9</v>
      </c>
      <c r="H6" s="17">
        <v>30946.199999999997</v>
      </c>
      <c r="I6" s="35"/>
      <c r="J6" s="35">
        <v>2632643.0700000008</v>
      </c>
      <c r="K6" s="44">
        <v>8</v>
      </c>
      <c r="L6" s="17">
        <v>34012.89</v>
      </c>
      <c r="M6" s="35"/>
      <c r="N6" s="35">
        <v>1929272.6899999997</v>
      </c>
      <c r="O6" s="44">
        <v>9</v>
      </c>
      <c r="P6" s="17">
        <v>22913.93</v>
      </c>
      <c r="Q6" s="35"/>
      <c r="R6" s="35">
        <v>2168573.3300000005</v>
      </c>
      <c r="S6" s="44">
        <v>11</v>
      </c>
      <c r="T6" s="17">
        <v>83278.710000000006</v>
      </c>
      <c r="U6" s="35"/>
      <c r="V6" s="91">
        <v>2599919.1199999996</v>
      </c>
      <c r="W6" s="100">
        <v>12</v>
      </c>
      <c r="X6" s="102">
        <v>134427.54999999999</v>
      </c>
      <c r="Y6" s="159" t="str">
        <f t="shared" ref="Y6:Y51" si="0">IF(Z6=A6,"OK","No")</f>
        <v>No</v>
      </c>
      <c r="Z6" t="s">
        <v>363</v>
      </c>
      <c r="AA6">
        <v>12</v>
      </c>
      <c r="AB6">
        <v>134427.54999999999</v>
      </c>
    </row>
    <row r="7" spans="1:28" x14ac:dyDescent="0.25">
      <c r="A7" s="16" t="s">
        <v>25</v>
      </c>
      <c r="B7" s="35">
        <v>5466369.0399999991</v>
      </c>
      <c r="C7" s="35"/>
      <c r="D7" s="35">
        <v>6297748.7900000056</v>
      </c>
      <c r="E7" s="35"/>
      <c r="F7" s="35">
        <v>8760940.5299999937</v>
      </c>
      <c r="G7" s="44">
        <v>6</v>
      </c>
      <c r="H7" s="17">
        <v>246453.26</v>
      </c>
      <c r="I7" s="35"/>
      <c r="J7" s="35">
        <v>12595752.529999994</v>
      </c>
      <c r="K7" s="44">
        <v>4</v>
      </c>
      <c r="L7" s="17">
        <v>215978.69</v>
      </c>
      <c r="M7" s="35"/>
      <c r="N7" s="35">
        <v>14239669.42</v>
      </c>
      <c r="O7" s="44">
        <v>4</v>
      </c>
      <c r="P7" s="17">
        <v>158187.24</v>
      </c>
      <c r="Q7" s="35"/>
      <c r="R7" s="35">
        <v>9361543.0000000056</v>
      </c>
      <c r="S7" s="44">
        <v>5</v>
      </c>
      <c r="T7" s="17">
        <v>850025.47</v>
      </c>
      <c r="U7" s="35"/>
      <c r="V7" s="91">
        <v>16253982.500000013</v>
      </c>
      <c r="W7" s="100">
        <v>5</v>
      </c>
      <c r="X7" s="102">
        <v>1181669.8899999999</v>
      </c>
      <c r="Y7" s="159" t="str">
        <f t="shared" si="0"/>
        <v>OK</v>
      </c>
      <c r="Z7" t="s">
        <v>25</v>
      </c>
      <c r="AA7">
        <v>5</v>
      </c>
      <c r="AB7">
        <v>1181669.8899999999</v>
      </c>
    </row>
    <row r="8" spans="1:28" x14ac:dyDescent="0.25">
      <c r="A8" s="16" t="s">
        <v>384</v>
      </c>
      <c r="B8" s="35"/>
      <c r="C8" s="35"/>
      <c r="D8" s="35"/>
      <c r="E8" s="35"/>
      <c r="F8" s="35"/>
      <c r="G8" s="44">
        <v>0</v>
      </c>
      <c r="H8" s="17">
        <v>0</v>
      </c>
      <c r="I8" s="35"/>
      <c r="J8" s="35">
        <v>0</v>
      </c>
      <c r="K8" s="44">
        <v>0</v>
      </c>
      <c r="L8" s="17">
        <v>0</v>
      </c>
      <c r="M8" s="35"/>
      <c r="N8" s="35">
        <v>0</v>
      </c>
      <c r="O8" s="44">
        <v>0</v>
      </c>
      <c r="P8" s="17">
        <v>0</v>
      </c>
      <c r="Q8" s="35"/>
      <c r="R8" s="35">
        <v>0</v>
      </c>
      <c r="S8" s="44">
        <v>0</v>
      </c>
      <c r="T8" s="17">
        <v>0</v>
      </c>
      <c r="U8" s="35"/>
      <c r="V8" s="91">
        <v>0</v>
      </c>
      <c r="W8" s="100">
        <v>0</v>
      </c>
      <c r="X8" s="102">
        <v>0</v>
      </c>
      <c r="Y8" s="159" t="str">
        <f t="shared" si="0"/>
        <v>OK</v>
      </c>
      <c r="Z8" t="s">
        <v>384</v>
      </c>
      <c r="AA8">
        <v>0</v>
      </c>
      <c r="AB8">
        <v>0</v>
      </c>
    </row>
    <row r="9" spans="1:28" x14ac:dyDescent="0.25">
      <c r="A9" s="16" t="s">
        <v>1</v>
      </c>
      <c r="B9" s="35">
        <v>48422449.689999998</v>
      </c>
      <c r="C9" s="35"/>
      <c r="D9" s="35">
        <v>51050276.920000002</v>
      </c>
      <c r="E9" s="35"/>
      <c r="F9" s="35">
        <v>46839236</v>
      </c>
      <c r="G9" s="44">
        <v>143</v>
      </c>
      <c r="H9" s="17">
        <v>2101786.1</v>
      </c>
      <c r="I9" s="35"/>
      <c r="J9" s="35">
        <v>52735717.430000074</v>
      </c>
      <c r="K9" s="44">
        <v>151</v>
      </c>
      <c r="L9" s="17">
        <v>1950979.1</v>
      </c>
      <c r="M9" s="35"/>
      <c r="N9" s="35">
        <v>54196182.95000007</v>
      </c>
      <c r="O9" s="44">
        <v>163</v>
      </c>
      <c r="P9" s="17">
        <v>2923394.32</v>
      </c>
      <c r="Q9" s="35"/>
      <c r="R9" s="35">
        <v>64181616.110000022</v>
      </c>
      <c r="S9" s="44">
        <v>181</v>
      </c>
      <c r="T9" s="17">
        <v>5067640.3</v>
      </c>
      <c r="U9" s="35"/>
      <c r="V9" s="91">
        <v>66698152.18999999</v>
      </c>
      <c r="W9" s="100">
        <v>190</v>
      </c>
      <c r="X9" s="102">
        <v>5433809.7199999988</v>
      </c>
      <c r="Y9" s="159" t="str">
        <f t="shared" si="0"/>
        <v>OK</v>
      </c>
      <c r="Z9" t="s">
        <v>1</v>
      </c>
      <c r="AA9">
        <v>190</v>
      </c>
      <c r="AB9">
        <v>5433809.7199999988</v>
      </c>
    </row>
    <row r="10" spans="1:28" x14ac:dyDescent="0.25">
      <c r="A10" s="16" t="s">
        <v>2</v>
      </c>
      <c r="B10" s="35">
        <v>58053969.150000036</v>
      </c>
      <c r="C10" s="35"/>
      <c r="D10" s="35">
        <v>56923245.460000008</v>
      </c>
      <c r="E10" s="35"/>
      <c r="F10" s="35">
        <v>65204516</v>
      </c>
      <c r="G10" s="44">
        <v>183</v>
      </c>
      <c r="H10" s="17">
        <v>1995531.34</v>
      </c>
      <c r="I10" s="35"/>
      <c r="J10" s="35">
        <v>72235331.470000029</v>
      </c>
      <c r="K10" s="44">
        <v>206</v>
      </c>
      <c r="L10" s="17">
        <v>2738252.3200000003</v>
      </c>
      <c r="M10" s="35"/>
      <c r="N10" s="35">
        <v>81829732.570000127</v>
      </c>
      <c r="O10" s="44">
        <v>212</v>
      </c>
      <c r="P10" s="17">
        <v>3227097.9500000007</v>
      </c>
      <c r="Q10" s="35"/>
      <c r="R10" s="35">
        <v>94232366.069999859</v>
      </c>
      <c r="S10" s="44">
        <v>201</v>
      </c>
      <c r="T10" s="17">
        <v>4356030.9399999995</v>
      </c>
      <c r="U10" s="35"/>
      <c r="V10" s="91">
        <v>108629992.79000013</v>
      </c>
      <c r="W10" s="100">
        <v>254</v>
      </c>
      <c r="X10" s="102">
        <v>7441665.120000001</v>
      </c>
      <c r="Y10" s="159" t="str">
        <f t="shared" si="0"/>
        <v>OK</v>
      </c>
      <c r="Z10" t="s">
        <v>2</v>
      </c>
      <c r="AA10">
        <v>254</v>
      </c>
      <c r="AB10">
        <v>7441665.120000001</v>
      </c>
    </row>
    <row r="11" spans="1:28" x14ac:dyDescent="0.25">
      <c r="A11" s="16" t="s">
        <v>3</v>
      </c>
      <c r="B11" s="35">
        <v>10525827.76</v>
      </c>
      <c r="C11" s="35"/>
      <c r="D11" s="35">
        <v>10078685.689999999</v>
      </c>
      <c r="E11" s="35"/>
      <c r="F11" s="35">
        <v>10074053</v>
      </c>
      <c r="G11" s="44">
        <v>6</v>
      </c>
      <c r="H11" s="17">
        <v>1435548.47</v>
      </c>
      <c r="I11" s="35"/>
      <c r="J11" s="35">
        <v>10391631.709999999</v>
      </c>
      <c r="K11" s="44">
        <v>5</v>
      </c>
      <c r="L11" s="17">
        <v>1588956.56</v>
      </c>
      <c r="M11" s="35"/>
      <c r="N11" s="35">
        <v>7216239.8699999992</v>
      </c>
      <c r="O11" s="44">
        <v>3</v>
      </c>
      <c r="P11" s="17">
        <v>8943.36</v>
      </c>
      <c r="Q11" s="35"/>
      <c r="R11" s="35">
        <v>7430436.6100000022</v>
      </c>
      <c r="S11" s="44">
        <v>6</v>
      </c>
      <c r="T11" s="17">
        <v>33199.949999999997</v>
      </c>
      <c r="U11" s="35"/>
      <c r="V11" s="91">
        <v>8564076.8800000027</v>
      </c>
      <c r="W11" s="100">
        <v>11</v>
      </c>
      <c r="X11" s="102">
        <v>331684.02</v>
      </c>
      <c r="Y11" s="159" t="str">
        <f t="shared" si="0"/>
        <v>OK</v>
      </c>
      <c r="Z11" t="s">
        <v>3</v>
      </c>
      <c r="AA11">
        <v>11</v>
      </c>
      <c r="AB11">
        <v>331684.02</v>
      </c>
    </row>
    <row r="12" spans="1:28" x14ac:dyDescent="0.25">
      <c r="A12" s="16" t="s">
        <v>32</v>
      </c>
      <c r="B12" s="35">
        <v>0</v>
      </c>
      <c r="C12" s="35"/>
      <c r="D12" s="35">
        <v>0</v>
      </c>
      <c r="E12" s="35"/>
      <c r="F12" s="35">
        <v>0</v>
      </c>
      <c r="G12" s="44"/>
      <c r="H12" s="17"/>
      <c r="I12" s="35"/>
      <c r="J12" s="35"/>
      <c r="K12" s="44"/>
      <c r="L12" s="17"/>
      <c r="M12" s="35"/>
      <c r="N12" s="35"/>
      <c r="O12" s="44"/>
      <c r="P12" s="17"/>
      <c r="Q12" s="35"/>
      <c r="R12" s="35"/>
      <c r="S12" s="44"/>
      <c r="T12" s="17"/>
      <c r="U12" s="35"/>
      <c r="V12" s="91">
        <v>1757.49</v>
      </c>
      <c r="W12" s="100">
        <v>1</v>
      </c>
      <c r="X12" s="102">
        <v>7.49</v>
      </c>
      <c r="Y12" s="159" t="str">
        <f t="shared" si="0"/>
        <v>OK</v>
      </c>
      <c r="Z12" t="s">
        <v>32</v>
      </c>
      <c r="AA12">
        <v>1</v>
      </c>
      <c r="AB12">
        <v>7.49</v>
      </c>
    </row>
    <row r="13" spans="1:28" x14ac:dyDescent="0.25">
      <c r="A13" s="16" t="s">
        <v>22</v>
      </c>
      <c r="B13" s="35">
        <v>2516783.5199999991</v>
      </c>
      <c r="C13" s="35"/>
      <c r="D13" s="35">
        <v>3066869.09</v>
      </c>
      <c r="E13" s="35"/>
      <c r="F13" s="35">
        <v>2049539</v>
      </c>
      <c r="G13" s="44">
        <v>28</v>
      </c>
      <c r="H13" s="17">
        <v>128487.69000000002</v>
      </c>
      <c r="I13" s="35"/>
      <c r="J13" s="35">
        <v>2255311.1299999994</v>
      </c>
      <c r="K13" s="44">
        <v>27</v>
      </c>
      <c r="L13" s="17">
        <v>151151.56000000003</v>
      </c>
      <c r="M13" s="35"/>
      <c r="N13" s="35">
        <v>3509531.620000001</v>
      </c>
      <c r="O13" s="44">
        <v>28</v>
      </c>
      <c r="P13" s="17">
        <v>189372</v>
      </c>
      <c r="Q13" s="35"/>
      <c r="R13" s="35">
        <v>4235794.92</v>
      </c>
      <c r="S13" s="44">
        <v>27</v>
      </c>
      <c r="T13" s="17">
        <v>95812.5</v>
      </c>
      <c r="U13" s="35"/>
      <c r="V13" s="91">
        <v>8728383.089999998</v>
      </c>
      <c r="W13" s="100">
        <v>31</v>
      </c>
      <c r="X13" s="102">
        <v>226694.55000000002</v>
      </c>
      <c r="Y13" s="159" t="str">
        <f t="shared" si="0"/>
        <v>No</v>
      </c>
      <c r="Z13" t="s">
        <v>366</v>
      </c>
      <c r="AA13">
        <v>31</v>
      </c>
      <c r="AB13">
        <v>226694.55000000002</v>
      </c>
    </row>
    <row r="14" spans="1:28" x14ac:dyDescent="0.25">
      <c r="A14" s="16" t="s">
        <v>4</v>
      </c>
      <c r="B14" s="35">
        <v>32815846.689999998</v>
      </c>
      <c r="C14" s="35"/>
      <c r="D14" s="35">
        <v>40168607.129999995</v>
      </c>
      <c r="E14" s="35"/>
      <c r="F14" s="35">
        <v>44030288</v>
      </c>
      <c r="G14" s="44">
        <v>55</v>
      </c>
      <c r="H14" s="17">
        <v>3452982.02</v>
      </c>
      <c r="I14" s="35"/>
      <c r="J14" s="35">
        <v>46777509.130000018</v>
      </c>
      <c r="K14" s="44">
        <v>59</v>
      </c>
      <c r="L14" s="17">
        <v>4309799.03</v>
      </c>
      <c r="M14" s="35"/>
      <c r="N14" s="35">
        <v>41359880.289999999</v>
      </c>
      <c r="O14" s="44">
        <v>56</v>
      </c>
      <c r="P14" s="17">
        <v>4589311.93</v>
      </c>
      <c r="Q14" s="35"/>
      <c r="R14" s="35">
        <v>49894102.720000029</v>
      </c>
      <c r="S14" s="44">
        <v>73</v>
      </c>
      <c r="T14" s="17">
        <v>6044213.1799999997</v>
      </c>
      <c r="U14" s="35"/>
      <c r="V14" s="91">
        <v>52043803.720000058</v>
      </c>
      <c r="W14" s="100">
        <v>69</v>
      </c>
      <c r="X14" s="102">
        <v>4447565.2000000011</v>
      </c>
      <c r="Y14" s="159" t="str">
        <f t="shared" si="0"/>
        <v>OK</v>
      </c>
      <c r="Z14" t="s">
        <v>4</v>
      </c>
      <c r="AA14">
        <v>69</v>
      </c>
      <c r="AB14">
        <v>4447565.2000000011</v>
      </c>
    </row>
    <row r="15" spans="1:28" x14ac:dyDescent="0.25">
      <c r="A15" s="16" t="s">
        <v>27</v>
      </c>
      <c r="B15" s="35">
        <v>785355.95</v>
      </c>
      <c r="C15" s="35"/>
      <c r="D15" s="35">
        <v>775816.05</v>
      </c>
      <c r="E15" s="35"/>
      <c r="F15" s="35">
        <v>348431.91000000003</v>
      </c>
      <c r="G15" s="44">
        <v>6</v>
      </c>
      <c r="H15" s="17">
        <v>150615.66</v>
      </c>
      <c r="I15" s="35"/>
      <c r="J15" s="35">
        <v>264247.56</v>
      </c>
      <c r="K15" s="44">
        <v>7</v>
      </c>
      <c r="L15" s="17">
        <v>178190.64</v>
      </c>
      <c r="M15" s="35"/>
      <c r="N15" s="35">
        <v>196086.72</v>
      </c>
      <c r="O15" s="44">
        <v>3</v>
      </c>
      <c r="P15" s="17">
        <v>557.14999999999782</v>
      </c>
      <c r="Q15" s="35"/>
      <c r="R15" s="35">
        <v>142240.08999999997</v>
      </c>
      <c r="S15" s="44">
        <v>8</v>
      </c>
      <c r="T15" s="17">
        <v>181880.83999999997</v>
      </c>
      <c r="U15" s="35"/>
      <c r="V15" s="91">
        <v>150103.06</v>
      </c>
      <c r="W15" s="100">
        <v>9</v>
      </c>
      <c r="X15" s="102">
        <v>184234.6</v>
      </c>
      <c r="Y15" s="159" t="str">
        <f t="shared" si="0"/>
        <v>OK</v>
      </c>
      <c r="Z15" t="s">
        <v>27</v>
      </c>
      <c r="AA15">
        <v>9</v>
      </c>
      <c r="AB15">
        <v>184234.6</v>
      </c>
    </row>
    <row r="16" spans="1:28" x14ac:dyDescent="0.25">
      <c r="A16" s="16" t="s">
        <v>28</v>
      </c>
      <c r="B16" s="35">
        <v>0</v>
      </c>
      <c r="C16" s="35"/>
      <c r="D16" s="35">
        <v>0</v>
      </c>
      <c r="E16" s="35"/>
      <c r="F16" s="35">
        <v>0</v>
      </c>
      <c r="G16" s="44">
        <v>0</v>
      </c>
      <c r="H16" s="17">
        <v>0</v>
      </c>
      <c r="I16" s="35"/>
      <c r="J16" s="35">
        <v>0</v>
      </c>
      <c r="K16" s="44">
        <v>0</v>
      </c>
      <c r="L16" s="17">
        <v>0</v>
      </c>
      <c r="M16" s="35"/>
      <c r="N16" s="35">
        <v>0</v>
      </c>
      <c r="O16" s="44">
        <v>0</v>
      </c>
      <c r="P16" s="17">
        <v>0</v>
      </c>
      <c r="Q16" s="35"/>
      <c r="R16" s="35">
        <v>0</v>
      </c>
      <c r="S16" s="44">
        <v>0</v>
      </c>
      <c r="T16" s="17">
        <v>0</v>
      </c>
      <c r="U16" s="35"/>
      <c r="V16" s="91">
        <v>0</v>
      </c>
      <c r="W16" s="100">
        <v>0</v>
      </c>
      <c r="X16" s="102">
        <v>0</v>
      </c>
      <c r="Y16" s="159" t="str">
        <f t="shared" si="0"/>
        <v>OK</v>
      </c>
      <c r="Z16" t="s">
        <v>28</v>
      </c>
      <c r="AA16">
        <v>0</v>
      </c>
      <c r="AB16">
        <v>0</v>
      </c>
    </row>
    <row r="17" spans="1:28" x14ac:dyDescent="0.25">
      <c r="A17" s="16" t="s">
        <v>5</v>
      </c>
      <c r="B17" s="35">
        <v>1909592.98</v>
      </c>
      <c r="C17" s="35"/>
      <c r="D17" s="35">
        <v>1989985.9600000002</v>
      </c>
      <c r="E17" s="35"/>
      <c r="F17" s="35">
        <v>1794638</v>
      </c>
      <c r="G17" s="44">
        <v>16</v>
      </c>
      <c r="H17" s="17">
        <v>1117.49</v>
      </c>
      <c r="I17" s="35"/>
      <c r="J17" s="35">
        <v>1942102.8900000006</v>
      </c>
      <c r="K17" s="44">
        <v>20</v>
      </c>
      <c r="L17" s="17">
        <v>26045.84</v>
      </c>
      <c r="M17" s="35"/>
      <c r="N17" s="35">
        <v>2113897.8300000005</v>
      </c>
      <c r="O17" s="44">
        <v>17</v>
      </c>
      <c r="P17" s="17">
        <v>4173.9799999999996</v>
      </c>
      <c r="Q17" s="35"/>
      <c r="R17" s="35">
        <v>3168780.9200000004</v>
      </c>
      <c r="S17" s="44">
        <v>17</v>
      </c>
      <c r="T17" s="17">
        <v>10725.869999999999</v>
      </c>
      <c r="U17" s="35"/>
      <c r="V17" s="91">
        <v>3557493.12</v>
      </c>
      <c r="W17" s="100">
        <v>19</v>
      </c>
      <c r="X17" s="102">
        <v>4970.58</v>
      </c>
      <c r="Y17" s="159" t="str">
        <f t="shared" si="0"/>
        <v>OK</v>
      </c>
      <c r="Z17" t="s">
        <v>5</v>
      </c>
      <c r="AA17">
        <v>19</v>
      </c>
      <c r="AB17">
        <v>4970.58</v>
      </c>
    </row>
    <row r="18" spans="1:28" x14ac:dyDescent="0.25">
      <c r="A18" s="16" t="s">
        <v>21</v>
      </c>
      <c r="B18" s="35">
        <v>19275417.52</v>
      </c>
      <c r="C18" s="35"/>
      <c r="D18" s="35">
        <v>20938608.609999996</v>
      </c>
      <c r="E18" s="35"/>
      <c r="F18" s="35">
        <v>34567891</v>
      </c>
      <c r="G18" s="44">
        <v>377</v>
      </c>
      <c r="H18" s="17">
        <v>13621063.620000001</v>
      </c>
      <c r="I18" s="35"/>
      <c r="J18" s="35">
        <v>33867261.279999986</v>
      </c>
      <c r="K18" s="44">
        <v>397</v>
      </c>
      <c r="L18" s="17">
        <v>14536279.550000001</v>
      </c>
      <c r="M18" s="35"/>
      <c r="N18" s="35">
        <v>33562797.410000011</v>
      </c>
      <c r="O18" s="44">
        <v>409</v>
      </c>
      <c r="P18" s="17">
        <v>15005526.140000001</v>
      </c>
      <c r="Q18" s="35"/>
      <c r="R18" s="35">
        <v>34676704.360000007</v>
      </c>
      <c r="S18" s="44">
        <v>425</v>
      </c>
      <c r="T18" s="17">
        <v>15363184.65</v>
      </c>
      <c r="U18" s="35"/>
      <c r="V18" s="91">
        <v>42160736.330000006</v>
      </c>
      <c r="W18" s="100">
        <v>446</v>
      </c>
      <c r="X18" s="102">
        <v>16112702.309999987</v>
      </c>
      <c r="Y18" s="159" t="str">
        <f t="shared" si="0"/>
        <v>OK</v>
      </c>
      <c r="Z18" t="s">
        <v>21</v>
      </c>
      <c r="AA18">
        <v>446</v>
      </c>
      <c r="AB18">
        <v>16112702.309999987</v>
      </c>
    </row>
    <row r="19" spans="1:28" x14ac:dyDescent="0.25">
      <c r="A19" s="16" t="s">
        <v>7</v>
      </c>
      <c r="B19" s="35">
        <v>1160607.4000000001</v>
      </c>
      <c r="C19" s="35"/>
      <c r="D19" s="35">
        <v>1331412.4899999998</v>
      </c>
      <c r="E19" s="35"/>
      <c r="F19" s="35">
        <v>1279894</v>
      </c>
      <c r="G19" s="44">
        <v>7</v>
      </c>
      <c r="H19" s="17">
        <v>60484.670000000006</v>
      </c>
      <c r="I19" s="35"/>
      <c r="J19" s="35">
        <v>1403352.75</v>
      </c>
      <c r="K19" s="44">
        <v>7</v>
      </c>
      <c r="L19" s="17">
        <v>66057.549999999988</v>
      </c>
      <c r="M19" s="35"/>
      <c r="N19" s="35">
        <v>1355842.6099999987</v>
      </c>
      <c r="O19" s="44">
        <v>8</v>
      </c>
      <c r="P19" s="17">
        <v>69402.420000000013</v>
      </c>
      <c r="Q19" s="35"/>
      <c r="R19" s="35">
        <v>1546240.2400000009</v>
      </c>
      <c r="S19" s="44">
        <v>8</v>
      </c>
      <c r="T19" s="17">
        <v>69179.520000000004</v>
      </c>
      <c r="U19" s="35"/>
      <c r="V19" s="91">
        <v>1796798.8800000004</v>
      </c>
      <c r="W19" s="100">
        <v>7</v>
      </c>
      <c r="X19" s="102">
        <v>172581.84999999998</v>
      </c>
      <c r="Y19" s="159" t="str">
        <f t="shared" si="0"/>
        <v>OK</v>
      </c>
      <c r="Z19" t="s">
        <v>7</v>
      </c>
      <c r="AA19">
        <v>7</v>
      </c>
      <c r="AB19">
        <v>172581.84999999998</v>
      </c>
    </row>
    <row r="20" spans="1:28" x14ac:dyDescent="0.25">
      <c r="A20" s="16" t="s">
        <v>6</v>
      </c>
      <c r="B20" s="35">
        <v>20165.82</v>
      </c>
      <c r="C20" s="35"/>
      <c r="D20" s="35">
        <v>22351.1</v>
      </c>
      <c r="E20" s="35"/>
      <c r="F20" s="35">
        <v>24587</v>
      </c>
      <c r="G20" s="44">
        <v>3</v>
      </c>
      <c r="H20" s="17">
        <v>24586.959999999999</v>
      </c>
      <c r="I20" s="35"/>
      <c r="J20" s="35">
        <v>26977.55</v>
      </c>
      <c r="K20" s="44">
        <v>2</v>
      </c>
      <c r="L20" s="17">
        <v>3352.64</v>
      </c>
      <c r="M20" s="35"/>
      <c r="N20" s="35">
        <v>29694.19</v>
      </c>
      <c r="O20" s="44">
        <v>3</v>
      </c>
      <c r="P20" s="17">
        <v>29694.19</v>
      </c>
      <c r="Q20" s="35"/>
      <c r="R20" s="35">
        <v>31310.65</v>
      </c>
      <c r="S20" s="44">
        <v>2</v>
      </c>
      <c r="T20" s="17">
        <v>4347.95</v>
      </c>
      <c r="U20" s="35"/>
      <c r="V20" s="91">
        <v>34441.050000000003</v>
      </c>
      <c r="W20" s="100">
        <v>2</v>
      </c>
      <c r="X20" s="102">
        <v>4928.3899999999994</v>
      </c>
      <c r="Y20" s="159" t="str">
        <f t="shared" si="0"/>
        <v>No</v>
      </c>
      <c r="Z20" t="s">
        <v>365</v>
      </c>
      <c r="AA20">
        <v>2</v>
      </c>
      <c r="AB20">
        <v>4928.3899999999994</v>
      </c>
    </row>
    <row r="21" spans="1:28" x14ac:dyDescent="0.25">
      <c r="A21" s="16" t="s">
        <v>29</v>
      </c>
      <c r="B21" s="35"/>
      <c r="C21" s="35"/>
      <c r="D21" s="35"/>
      <c r="E21" s="35"/>
      <c r="F21" s="35"/>
      <c r="G21" s="44">
        <v>0</v>
      </c>
      <c r="H21" s="17">
        <v>0</v>
      </c>
      <c r="I21" s="35"/>
      <c r="J21" s="35">
        <v>0</v>
      </c>
      <c r="K21" s="44">
        <v>0</v>
      </c>
      <c r="L21" s="17">
        <v>0</v>
      </c>
      <c r="M21" s="35"/>
      <c r="N21" s="35">
        <v>0</v>
      </c>
      <c r="O21" s="44">
        <v>0</v>
      </c>
      <c r="P21" s="17">
        <v>0</v>
      </c>
      <c r="Q21" s="35"/>
      <c r="R21" s="35">
        <v>0</v>
      </c>
      <c r="S21" s="44">
        <v>0</v>
      </c>
      <c r="T21" s="17">
        <v>0</v>
      </c>
      <c r="U21" s="35"/>
      <c r="V21" s="91">
        <v>0</v>
      </c>
      <c r="W21" s="100">
        <v>0</v>
      </c>
      <c r="X21" s="102">
        <v>0</v>
      </c>
      <c r="Y21" s="159" t="str">
        <f t="shared" si="0"/>
        <v>No</v>
      </c>
      <c r="Z21" t="s">
        <v>367</v>
      </c>
      <c r="AA21">
        <v>0</v>
      </c>
      <c r="AB21">
        <v>0</v>
      </c>
    </row>
    <row r="22" spans="1:28" x14ac:dyDescent="0.25">
      <c r="A22" s="16" t="s">
        <v>8</v>
      </c>
      <c r="B22" s="35">
        <v>32848702.71999998</v>
      </c>
      <c r="C22" s="35"/>
      <c r="D22" s="35">
        <v>36424843.130000003</v>
      </c>
      <c r="E22" s="35"/>
      <c r="F22" s="35">
        <v>37336890</v>
      </c>
      <c r="G22" s="44">
        <v>43</v>
      </c>
      <c r="H22" s="17">
        <v>1978362.3900000001</v>
      </c>
      <c r="I22" s="35"/>
      <c r="J22" s="35">
        <v>36505894.139999993</v>
      </c>
      <c r="K22" s="44">
        <v>55</v>
      </c>
      <c r="L22" s="17">
        <v>2819306.9200000004</v>
      </c>
      <c r="M22" s="35"/>
      <c r="N22" s="35">
        <v>35785650.919999972</v>
      </c>
      <c r="O22" s="44">
        <v>54</v>
      </c>
      <c r="P22" s="17">
        <v>3234249.67</v>
      </c>
      <c r="Q22" s="35"/>
      <c r="R22" s="35">
        <v>34979407.390000001</v>
      </c>
      <c r="S22" s="44">
        <v>59</v>
      </c>
      <c r="T22" s="17">
        <v>3149099.1399999997</v>
      </c>
      <c r="U22" s="35"/>
      <c r="V22" s="91">
        <v>36933319.610000037</v>
      </c>
      <c r="W22" s="100">
        <v>70</v>
      </c>
      <c r="X22" s="102">
        <v>6189880.4100000011</v>
      </c>
      <c r="Y22" s="159" t="str">
        <f t="shared" si="0"/>
        <v>OK</v>
      </c>
      <c r="Z22" t="s">
        <v>8</v>
      </c>
      <c r="AA22">
        <v>70</v>
      </c>
      <c r="AB22">
        <v>6189880.4100000011</v>
      </c>
    </row>
    <row r="23" spans="1:28" x14ac:dyDescent="0.25">
      <c r="A23" s="16" t="s">
        <v>9</v>
      </c>
      <c r="B23" s="35">
        <v>3474415.65</v>
      </c>
      <c r="C23" s="35"/>
      <c r="D23" s="35">
        <v>3347618.51</v>
      </c>
      <c r="E23" s="35"/>
      <c r="F23" s="35">
        <v>4079114</v>
      </c>
      <c r="G23" s="44">
        <v>3</v>
      </c>
      <c r="H23" s="17">
        <v>50424.160000000003</v>
      </c>
      <c r="I23" s="35"/>
      <c r="J23" s="35">
        <v>4201481.2699999996</v>
      </c>
      <c r="K23" s="44">
        <v>4</v>
      </c>
      <c r="L23" s="17">
        <v>179095.04000000001</v>
      </c>
      <c r="M23" s="35"/>
      <c r="N23" s="35">
        <v>4325716.63</v>
      </c>
      <c r="O23" s="44">
        <v>3</v>
      </c>
      <c r="P23" s="17">
        <v>337723.07</v>
      </c>
      <c r="Q23" s="35"/>
      <c r="R23" s="35">
        <v>4280348.5799999991</v>
      </c>
      <c r="S23" s="44">
        <v>2</v>
      </c>
      <c r="T23" s="17">
        <v>69670.14</v>
      </c>
      <c r="U23" s="35"/>
      <c r="V23" s="91">
        <v>4427026.3399999989</v>
      </c>
      <c r="W23" s="100">
        <v>4</v>
      </c>
      <c r="X23" s="102">
        <v>140635.39000000001</v>
      </c>
      <c r="Y23" s="159" t="str">
        <f t="shared" si="0"/>
        <v>OK</v>
      </c>
      <c r="Z23" t="s">
        <v>9</v>
      </c>
      <c r="AA23">
        <v>4</v>
      </c>
      <c r="AB23">
        <v>140635.39000000001</v>
      </c>
    </row>
    <row r="24" spans="1:28" x14ac:dyDescent="0.25">
      <c r="A24" s="16" t="s">
        <v>23</v>
      </c>
      <c r="B24" s="35">
        <v>160159072.26000008</v>
      </c>
      <c r="C24" s="35"/>
      <c r="D24" s="35">
        <v>175373771.41999993</v>
      </c>
      <c r="E24" s="35"/>
      <c r="F24" s="35">
        <v>188874754</v>
      </c>
      <c r="G24" s="44">
        <v>586</v>
      </c>
      <c r="H24" s="17">
        <v>15224311.659999998</v>
      </c>
      <c r="I24" s="35"/>
      <c r="J24" s="35">
        <v>204796433.32999966</v>
      </c>
      <c r="K24" s="44">
        <v>633</v>
      </c>
      <c r="L24" s="17">
        <v>16173854.25</v>
      </c>
      <c r="M24" s="35"/>
      <c r="N24" s="35">
        <v>225281432.6199995</v>
      </c>
      <c r="O24" s="44">
        <v>682</v>
      </c>
      <c r="P24" s="17">
        <v>19584575.629999995</v>
      </c>
      <c r="Q24" s="35"/>
      <c r="R24" s="35">
        <v>239904519.41999939</v>
      </c>
      <c r="S24" s="44">
        <v>734</v>
      </c>
      <c r="T24" s="17">
        <v>23038204.890000001</v>
      </c>
      <c r="U24" s="35"/>
      <c r="V24" s="91">
        <v>253021637.76999938</v>
      </c>
      <c r="W24" s="100">
        <v>757</v>
      </c>
      <c r="X24" s="102">
        <v>24766256.469999995</v>
      </c>
      <c r="Y24" s="159" t="str">
        <f t="shared" si="0"/>
        <v>OK</v>
      </c>
      <c r="Z24" t="s">
        <v>23</v>
      </c>
      <c r="AA24">
        <v>757</v>
      </c>
      <c r="AB24">
        <v>24766256.469999995</v>
      </c>
    </row>
    <row r="25" spans="1:28" x14ac:dyDescent="0.25">
      <c r="A25" s="16" t="s">
        <v>24</v>
      </c>
      <c r="B25" s="35">
        <v>0</v>
      </c>
      <c r="C25" s="35"/>
      <c r="D25" s="35">
        <v>0</v>
      </c>
      <c r="E25" s="35"/>
      <c r="F25" s="35">
        <v>0</v>
      </c>
      <c r="G25" s="44">
        <v>0</v>
      </c>
      <c r="H25" s="17">
        <v>0</v>
      </c>
      <c r="I25" s="35"/>
      <c r="J25" s="35">
        <v>0</v>
      </c>
      <c r="K25" s="44">
        <v>0</v>
      </c>
      <c r="L25" s="17">
        <v>0</v>
      </c>
      <c r="M25" s="35"/>
      <c r="N25" s="35">
        <v>0</v>
      </c>
      <c r="O25" s="44">
        <v>0</v>
      </c>
      <c r="P25" s="17">
        <v>0</v>
      </c>
      <c r="Q25" s="35"/>
      <c r="R25" s="35">
        <v>0</v>
      </c>
      <c r="S25" s="44">
        <v>0</v>
      </c>
      <c r="T25" s="17">
        <v>0</v>
      </c>
      <c r="U25" s="35"/>
      <c r="V25" s="91">
        <v>0</v>
      </c>
      <c r="W25" s="100">
        <v>0</v>
      </c>
      <c r="X25" s="102">
        <v>0</v>
      </c>
      <c r="Y25" s="159" t="str">
        <f t="shared" si="0"/>
        <v>OK</v>
      </c>
      <c r="Z25" t="s">
        <v>24</v>
      </c>
      <c r="AA25">
        <v>0</v>
      </c>
      <c r="AB25">
        <v>0</v>
      </c>
    </row>
    <row r="26" spans="1:28" x14ac:dyDescent="0.25">
      <c r="A26" s="16" t="s">
        <v>33</v>
      </c>
      <c r="B26" s="35">
        <v>84761.9</v>
      </c>
      <c r="C26" s="35"/>
      <c r="D26" s="35">
        <v>100420.77</v>
      </c>
      <c r="E26" s="35"/>
      <c r="F26" s="35">
        <v>86697.06</v>
      </c>
      <c r="G26" s="44"/>
      <c r="H26" s="17">
        <v>0</v>
      </c>
      <c r="I26" s="35"/>
      <c r="J26" s="35">
        <v>111709.09999999999</v>
      </c>
      <c r="K26" s="44">
        <v>1</v>
      </c>
      <c r="L26" s="17">
        <v>7085.75</v>
      </c>
      <c r="M26" s="35"/>
      <c r="N26" s="35">
        <v>112372.69</v>
      </c>
      <c r="O26" s="44">
        <v>1</v>
      </c>
      <c r="P26" s="17">
        <v>7933.81</v>
      </c>
      <c r="Q26" s="35"/>
      <c r="R26" s="35">
        <v>428063.07000000007</v>
      </c>
      <c r="S26" s="44">
        <v>3</v>
      </c>
      <c r="T26" s="17">
        <v>13081.38</v>
      </c>
      <c r="U26" s="35"/>
      <c r="V26" s="91">
        <v>443978.56999999995</v>
      </c>
      <c r="W26" s="100">
        <v>2</v>
      </c>
      <c r="X26" s="102">
        <v>11907.88</v>
      </c>
      <c r="Y26" s="159" t="str">
        <f t="shared" si="0"/>
        <v>OK</v>
      </c>
      <c r="Z26" t="s">
        <v>33</v>
      </c>
      <c r="AA26">
        <v>2</v>
      </c>
      <c r="AB26">
        <v>11907.88</v>
      </c>
    </row>
    <row r="27" spans="1:28" x14ac:dyDescent="0.25">
      <c r="A27" s="16" t="s">
        <v>10</v>
      </c>
      <c r="B27" s="35">
        <v>13490105.309999999</v>
      </c>
      <c r="C27" s="35"/>
      <c r="D27" s="35">
        <v>11755743.550000001</v>
      </c>
      <c r="E27" s="35"/>
      <c r="F27" s="35">
        <v>8628623</v>
      </c>
      <c r="G27" s="44">
        <v>24</v>
      </c>
      <c r="H27" s="17">
        <v>265486.12</v>
      </c>
      <c r="I27" s="35"/>
      <c r="J27" s="35">
        <v>8255280.5799999982</v>
      </c>
      <c r="K27" s="44">
        <v>36</v>
      </c>
      <c r="L27" s="17">
        <v>311878.20999999996</v>
      </c>
      <c r="M27" s="35"/>
      <c r="N27" s="35">
        <v>8743595.8099999987</v>
      </c>
      <c r="O27" s="44">
        <v>30</v>
      </c>
      <c r="P27" s="17">
        <v>430474.07</v>
      </c>
      <c r="Q27" s="35"/>
      <c r="R27" s="35">
        <v>10469771.749999994</v>
      </c>
      <c r="S27" s="44">
        <v>32</v>
      </c>
      <c r="T27" s="17">
        <v>467441.34</v>
      </c>
      <c r="U27" s="35"/>
      <c r="V27" s="91">
        <v>13251507.410000004</v>
      </c>
      <c r="W27" s="100">
        <v>20</v>
      </c>
      <c r="X27" s="102">
        <v>503525.91</v>
      </c>
      <c r="Y27" s="159" t="str">
        <f t="shared" si="0"/>
        <v>OK</v>
      </c>
      <c r="Z27" t="s">
        <v>10</v>
      </c>
      <c r="AA27">
        <v>20</v>
      </c>
      <c r="AB27">
        <v>503525.91</v>
      </c>
    </row>
    <row r="28" spans="1:28" x14ac:dyDescent="0.25">
      <c r="A28" s="16" t="s">
        <v>358</v>
      </c>
      <c r="B28" s="35">
        <v>31842970.959999993</v>
      </c>
      <c r="C28" s="35"/>
      <c r="D28" s="35">
        <v>34018163.150000006</v>
      </c>
      <c r="E28" s="35"/>
      <c r="F28" s="35">
        <v>33821377</v>
      </c>
      <c r="G28" s="44">
        <v>69</v>
      </c>
      <c r="H28" s="17">
        <v>379043.74000000005</v>
      </c>
      <c r="I28" s="35"/>
      <c r="J28" s="35">
        <v>32505031.100000005</v>
      </c>
      <c r="K28" s="44">
        <v>76</v>
      </c>
      <c r="L28" s="17">
        <v>107538.03999999995</v>
      </c>
      <c r="M28" s="35"/>
      <c r="N28" s="35">
        <v>31111926.070000026</v>
      </c>
      <c r="O28" s="44">
        <v>86</v>
      </c>
      <c r="P28" s="17">
        <v>865852.01</v>
      </c>
      <c r="Q28" s="35"/>
      <c r="R28" s="35">
        <v>39274336.579999998</v>
      </c>
      <c r="S28" s="44">
        <v>90</v>
      </c>
      <c r="T28" s="17">
        <v>414392.79000000004</v>
      </c>
      <c r="U28" s="35"/>
      <c r="V28" s="91">
        <v>40701335.969999984</v>
      </c>
      <c r="W28" s="100">
        <v>93</v>
      </c>
      <c r="X28" s="102">
        <v>498043.06</v>
      </c>
      <c r="Y28" s="159" t="str">
        <f t="shared" si="0"/>
        <v>OK</v>
      </c>
      <c r="Z28" t="s">
        <v>358</v>
      </c>
      <c r="AA28">
        <v>93</v>
      </c>
      <c r="AB28">
        <v>498043.06</v>
      </c>
    </row>
    <row r="29" spans="1:28" x14ac:dyDescent="0.25">
      <c r="A29" s="16" t="s">
        <v>190</v>
      </c>
      <c r="B29" s="35">
        <v>4137259.84</v>
      </c>
      <c r="C29" s="35"/>
      <c r="D29" s="35">
        <v>4980629.13</v>
      </c>
      <c r="E29" s="35"/>
      <c r="F29" s="35">
        <v>5409598</v>
      </c>
      <c r="G29" s="44">
        <v>10</v>
      </c>
      <c r="H29" s="17">
        <v>207342.18999999997</v>
      </c>
      <c r="I29" s="35"/>
      <c r="J29" s="35">
        <v>4293116.8099999977</v>
      </c>
      <c r="K29" s="44">
        <v>9</v>
      </c>
      <c r="L29" s="17">
        <v>223545.39</v>
      </c>
      <c r="M29" s="35"/>
      <c r="N29" s="35">
        <v>4390601.7699999968</v>
      </c>
      <c r="O29" s="44">
        <v>12</v>
      </c>
      <c r="P29" s="17">
        <v>136420.59</v>
      </c>
      <c r="Q29" s="35"/>
      <c r="R29" s="35">
        <v>4611417.0500000017</v>
      </c>
      <c r="S29" s="44">
        <v>11</v>
      </c>
      <c r="T29" s="17">
        <v>138613.03000000003</v>
      </c>
      <c r="U29" s="35"/>
      <c r="V29" s="91">
        <v>4898065.8699999992</v>
      </c>
      <c r="W29" s="100">
        <v>14</v>
      </c>
      <c r="X29" s="102">
        <v>209569.41999999998</v>
      </c>
      <c r="Y29" s="159" t="str">
        <f t="shared" si="0"/>
        <v>OK</v>
      </c>
      <c r="Z29" t="s">
        <v>190</v>
      </c>
      <c r="AA29">
        <v>14</v>
      </c>
      <c r="AB29">
        <v>209569.41999999998</v>
      </c>
    </row>
    <row r="30" spans="1:28" x14ac:dyDescent="0.25">
      <c r="A30" s="16" t="s">
        <v>11</v>
      </c>
      <c r="B30" s="35">
        <v>13454125.359999999</v>
      </c>
      <c r="C30" s="35"/>
      <c r="D30" s="35">
        <v>12918436.17</v>
      </c>
      <c r="E30" s="35"/>
      <c r="F30" s="35">
        <v>14013129</v>
      </c>
      <c r="G30" s="44">
        <v>38</v>
      </c>
      <c r="H30" s="17">
        <v>551853.39000000013</v>
      </c>
      <c r="I30" s="35"/>
      <c r="J30" s="35">
        <v>14469877.979999997</v>
      </c>
      <c r="K30" s="44">
        <v>40</v>
      </c>
      <c r="L30" s="17">
        <v>1116624.77</v>
      </c>
      <c r="M30" s="35"/>
      <c r="N30" s="35">
        <v>14563348.049999995</v>
      </c>
      <c r="O30" s="44">
        <v>35</v>
      </c>
      <c r="P30" s="17">
        <v>711038.37000000011</v>
      </c>
      <c r="Q30" s="35"/>
      <c r="R30" s="35">
        <v>2945445.5400000005</v>
      </c>
      <c r="S30" s="44">
        <v>31</v>
      </c>
      <c r="T30" s="17">
        <v>465849.04</v>
      </c>
      <c r="U30" s="35"/>
      <c r="V30" s="91">
        <v>4688277.82</v>
      </c>
      <c r="W30" s="100">
        <v>38</v>
      </c>
      <c r="X30" s="102">
        <v>527933.74</v>
      </c>
      <c r="Y30" s="159" t="str">
        <f t="shared" si="0"/>
        <v>OK</v>
      </c>
      <c r="Z30" t="s">
        <v>11</v>
      </c>
      <c r="AA30">
        <v>38</v>
      </c>
      <c r="AB30">
        <v>527933.74</v>
      </c>
    </row>
    <row r="31" spans="1:28" x14ac:dyDescent="0.25">
      <c r="A31" s="16" t="s">
        <v>12</v>
      </c>
      <c r="B31" s="35">
        <v>3665548.7499999995</v>
      </c>
      <c r="C31" s="35"/>
      <c r="D31" s="35">
        <v>4069073.1399999997</v>
      </c>
      <c r="E31" s="35"/>
      <c r="F31" s="35">
        <v>4546367</v>
      </c>
      <c r="G31" s="44">
        <v>8</v>
      </c>
      <c r="H31" s="17">
        <v>89715.98</v>
      </c>
      <c r="I31" s="35"/>
      <c r="J31" s="35">
        <v>4772383.950000002</v>
      </c>
      <c r="K31" s="44">
        <v>10</v>
      </c>
      <c r="L31" s="17">
        <v>99530.25</v>
      </c>
      <c r="M31" s="35"/>
      <c r="N31" s="35">
        <v>5753256.5699999994</v>
      </c>
      <c r="O31" s="44">
        <v>8</v>
      </c>
      <c r="P31" s="17">
        <v>102023.23</v>
      </c>
      <c r="Q31" s="35"/>
      <c r="R31" s="35">
        <v>9274329.3399999999</v>
      </c>
      <c r="S31" s="44">
        <v>9</v>
      </c>
      <c r="T31" s="17">
        <v>102108.11</v>
      </c>
      <c r="U31" s="35"/>
      <c r="V31" s="91">
        <v>12968433.039999997</v>
      </c>
      <c r="W31" s="100">
        <v>8</v>
      </c>
      <c r="X31" s="102">
        <v>105813.11</v>
      </c>
      <c r="Y31" s="159" t="str">
        <f t="shared" si="0"/>
        <v>OK</v>
      </c>
      <c r="Z31" t="s">
        <v>12</v>
      </c>
      <c r="AA31">
        <v>8</v>
      </c>
      <c r="AB31">
        <v>105813.11</v>
      </c>
    </row>
    <row r="32" spans="1:28" x14ac:dyDescent="0.25">
      <c r="A32" s="16" t="s">
        <v>13</v>
      </c>
      <c r="B32" s="35">
        <v>3187916.2199999997</v>
      </c>
      <c r="C32" s="35"/>
      <c r="D32" s="35">
        <v>3261094.59</v>
      </c>
      <c r="E32" s="35"/>
      <c r="F32" s="35">
        <v>2930226</v>
      </c>
      <c r="G32" s="44">
        <v>4</v>
      </c>
      <c r="H32" s="17">
        <v>92051.639999999985</v>
      </c>
      <c r="I32" s="35"/>
      <c r="J32" s="35">
        <v>2327423.4500000002</v>
      </c>
      <c r="K32" s="44">
        <v>7</v>
      </c>
      <c r="L32" s="17">
        <v>118243.84</v>
      </c>
      <c r="M32" s="35"/>
      <c r="N32" s="35">
        <v>2333736.2700000005</v>
      </c>
      <c r="O32" s="44">
        <v>6</v>
      </c>
      <c r="P32" s="17">
        <v>79732.14</v>
      </c>
      <c r="Q32" s="35"/>
      <c r="R32" s="35">
        <v>2513950.46</v>
      </c>
      <c r="S32" s="44">
        <v>7</v>
      </c>
      <c r="T32" s="17">
        <v>69101.36</v>
      </c>
      <c r="U32" s="35"/>
      <c r="V32" s="91">
        <v>2585859.6299999994</v>
      </c>
      <c r="W32" s="100">
        <v>7</v>
      </c>
      <c r="X32" s="102">
        <v>53763.18</v>
      </c>
      <c r="Y32" s="159" t="str">
        <f t="shared" si="0"/>
        <v>OK</v>
      </c>
      <c r="Z32" t="s">
        <v>13</v>
      </c>
      <c r="AA32">
        <v>7</v>
      </c>
      <c r="AB32">
        <v>53763.18</v>
      </c>
    </row>
    <row r="33" spans="1:28" x14ac:dyDescent="0.25">
      <c r="A33" s="16" t="s">
        <v>14</v>
      </c>
      <c r="B33" s="35">
        <v>1059640.0299999998</v>
      </c>
      <c r="C33" s="35"/>
      <c r="D33" s="35">
        <v>1239944.4599999997</v>
      </c>
      <c r="E33" s="35"/>
      <c r="F33" s="35">
        <v>1536110</v>
      </c>
      <c r="G33" s="44">
        <v>8</v>
      </c>
      <c r="H33" s="17">
        <v>52906.29</v>
      </c>
      <c r="I33" s="35"/>
      <c r="J33" s="35">
        <v>2011657.1900000004</v>
      </c>
      <c r="K33" s="44">
        <v>10</v>
      </c>
      <c r="L33" s="17">
        <v>175596.38999999998</v>
      </c>
      <c r="M33" s="35"/>
      <c r="N33" s="35">
        <v>2540306.7600000007</v>
      </c>
      <c r="O33" s="44">
        <v>10</v>
      </c>
      <c r="P33" s="17">
        <v>251471.76</v>
      </c>
      <c r="Q33" s="35"/>
      <c r="R33" s="35">
        <v>3103018.6399999997</v>
      </c>
      <c r="S33" s="44">
        <v>9</v>
      </c>
      <c r="T33" s="17">
        <v>214477.66000000003</v>
      </c>
      <c r="U33" s="35"/>
      <c r="V33" s="91">
        <v>3403513.7699999991</v>
      </c>
      <c r="W33" s="100">
        <v>6</v>
      </c>
      <c r="X33" s="102">
        <v>217862.90000000002</v>
      </c>
      <c r="Y33" s="159" t="str">
        <f t="shared" si="0"/>
        <v>OK</v>
      </c>
      <c r="Z33" t="s">
        <v>14</v>
      </c>
      <c r="AA33">
        <v>6</v>
      </c>
      <c r="AB33">
        <v>217862.90000000002</v>
      </c>
    </row>
    <row r="34" spans="1:28" x14ac:dyDescent="0.25">
      <c r="A34" s="16" t="s">
        <v>15</v>
      </c>
      <c r="B34" s="35">
        <v>2394400.0299999998</v>
      </c>
      <c r="C34" s="35"/>
      <c r="D34" s="35">
        <v>2375073.9700000002</v>
      </c>
      <c r="E34" s="35"/>
      <c r="F34" s="35">
        <v>3887833</v>
      </c>
      <c r="G34" s="44">
        <v>25</v>
      </c>
      <c r="H34" s="17">
        <v>132019.30999999997</v>
      </c>
      <c r="I34" s="35"/>
      <c r="J34" s="35">
        <v>5320428.9699999951</v>
      </c>
      <c r="K34" s="44">
        <v>23</v>
      </c>
      <c r="L34" s="17">
        <v>16345.110000000002</v>
      </c>
      <c r="M34" s="35"/>
      <c r="N34" s="35">
        <v>5732273.3899999978</v>
      </c>
      <c r="O34" s="44">
        <v>17</v>
      </c>
      <c r="P34" s="17">
        <v>26027.81</v>
      </c>
      <c r="Q34" s="35"/>
      <c r="R34" s="35">
        <v>6333032.8799999999</v>
      </c>
      <c r="S34" s="44">
        <v>15</v>
      </c>
      <c r="T34" s="17">
        <v>20887.95</v>
      </c>
      <c r="U34" s="35"/>
      <c r="V34" s="91">
        <v>8000631.2399999993</v>
      </c>
      <c r="W34" s="100">
        <v>18</v>
      </c>
      <c r="X34" s="102">
        <v>280160.7</v>
      </c>
      <c r="Y34" s="159" t="str">
        <f t="shared" si="0"/>
        <v>OK</v>
      </c>
      <c r="Z34" t="s">
        <v>15</v>
      </c>
      <c r="AA34">
        <v>18</v>
      </c>
      <c r="AB34">
        <v>280160.7</v>
      </c>
    </row>
    <row r="35" spans="1:28" x14ac:dyDescent="0.25">
      <c r="A35" s="16" t="s">
        <v>16</v>
      </c>
      <c r="B35" s="35">
        <v>2094880.51</v>
      </c>
      <c r="C35" s="35"/>
      <c r="D35" s="35">
        <v>2701852.26</v>
      </c>
      <c r="E35" s="35"/>
      <c r="F35" s="35">
        <v>3047651</v>
      </c>
      <c r="G35" s="44">
        <v>18</v>
      </c>
      <c r="H35" s="17">
        <v>165913.01</v>
      </c>
      <c r="I35" s="35"/>
      <c r="J35" s="35">
        <v>2266676.6</v>
      </c>
      <c r="K35" s="44">
        <v>18</v>
      </c>
      <c r="L35" s="17">
        <v>174276.57</v>
      </c>
      <c r="M35" s="35"/>
      <c r="N35" s="35">
        <v>2158436.6999999993</v>
      </c>
      <c r="O35" s="44">
        <v>10</v>
      </c>
      <c r="P35" s="17">
        <v>137643.41999999998</v>
      </c>
      <c r="Q35" s="35"/>
      <c r="R35" s="35">
        <v>1988656.51</v>
      </c>
      <c r="S35" s="44">
        <v>15</v>
      </c>
      <c r="T35" s="17">
        <v>159090.37</v>
      </c>
      <c r="U35" s="35"/>
      <c r="V35" s="91">
        <v>2036867.7500000005</v>
      </c>
      <c r="W35" s="100">
        <v>9</v>
      </c>
      <c r="X35" s="102">
        <v>79871.58</v>
      </c>
      <c r="Y35" s="159" t="str">
        <f t="shared" si="0"/>
        <v>OK</v>
      </c>
      <c r="Z35" t="s">
        <v>16</v>
      </c>
      <c r="AA35">
        <v>9</v>
      </c>
      <c r="AB35">
        <v>79871.58</v>
      </c>
    </row>
    <row r="36" spans="1:28" x14ac:dyDescent="0.25">
      <c r="A36" s="16" t="s">
        <v>17</v>
      </c>
      <c r="B36" s="35">
        <v>10880916.77</v>
      </c>
      <c r="C36" s="35"/>
      <c r="D36" s="35">
        <v>10923982.849999998</v>
      </c>
      <c r="E36" s="35"/>
      <c r="F36" s="35">
        <v>11818035</v>
      </c>
      <c r="G36" s="44">
        <v>53</v>
      </c>
      <c r="H36" s="17">
        <v>1375067.2400000002</v>
      </c>
      <c r="I36" s="35"/>
      <c r="J36" s="35">
        <v>10759232.560000004</v>
      </c>
      <c r="K36" s="44">
        <v>50</v>
      </c>
      <c r="L36" s="17">
        <v>1190993.8900000001</v>
      </c>
      <c r="M36" s="35"/>
      <c r="N36" s="35">
        <v>8754618.9100000001</v>
      </c>
      <c r="O36" s="44">
        <v>38</v>
      </c>
      <c r="P36" s="17">
        <v>853571.78999999992</v>
      </c>
      <c r="Q36" s="35"/>
      <c r="R36" s="35">
        <v>9293658.1599999983</v>
      </c>
      <c r="S36" s="44">
        <v>37</v>
      </c>
      <c r="T36" s="17">
        <v>702891.37</v>
      </c>
      <c r="U36" s="35"/>
      <c r="V36" s="91">
        <v>8371024.1299999962</v>
      </c>
      <c r="W36" s="100">
        <v>33</v>
      </c>
      <c r="X36" s="102">
        <v>604770.35</v>
      </c>
      <c r="Y36" s="159" t="str">
        <f t="shared" si="0"/>
        <v>OK</v>
      </c>
      <c r="Z36" t="s">
        <v>17</v>
      </c>
      <c r="AA36">
        <v>33</v>
      </c>
      <c r="AB36">
        <v>604770.35</v>
      </c>
    </row>
    <row r="37" spans="1:28" x14ac:dyDescent="0.25">
      <c r="A37" s="16" t="s">
        <v>18</v>
      </c>
      <c r="B37" s="35">
        <v>3772368.55</v>
      </c>
      <c r="C37" s="35"/>
      <c r="D37" s="35">
        <v>3739125.27</v>
      </c>
      <c r="E37" s="35"/>
      <c r="F37" s="35">
        <v>3313730</v>
      </c>
      <c r="G37" s="44">
        <v>12</v>
      </c>
      <c r="H37" s="17">
        <v>268811.53000000003</v>
      </c>
      <c r="I37" s="35"/>
      <c r="J37" s="35">
        <v>3697039.6700000027</v>
      </c>
      <c r="K37" s="44">
        <v>9</v>
      </c>
      <c r="L37" s="17">
        <v>265122.8</v>
      </c>
      <c r="M37" s="35"/>
      <c r="N37" s="35">
        <v>3623821.8299999996</v>
      </c>
      <c r="O37" s="44">
        <v>11</v>
      </c>
      <c r="P37" s="17">
        <v>300308.02</v>
      </c>
      <c r="Q37" s="35"/>
      <c r="R37" s="35">
        <v>3526149.2800000007</v>
      </c>
      <c r="S37" s="44">
        <v>8</v>
      </c>
      <c r="T37" s="17">
        <v>115043.12</v>
      </c>
      <c r="U37" s="35"/>
      <c r="V37" s="91">
        <v>3440359.8899999987</v>
      </c>
      <c r="W37" s="100">
        <v>7</v>
      </c>
      <c r="X37" s="102">
        <v>129367.83</v>
      </c>
      <c r="Y37" s="159" t="str">
        <f t="shared" si="0"/>
        <v>OK</v>
      </c>
      <c r="Z37" t="s">
        <v>18</v>
      </c>
      <c r="AA37">
        <v>7</v>
      </c>
      <c r="AB37">
        <v>129367.83</v>
      </c>
    </row>
    <row r="38" spans="1:28" x14ac:dyDescent="0.25">
      <c r="A38" s="16" t="s">
        <v>360</v>
      </c>
      <c r="B38" s="35"/>
      <c r="C38" s="35"/>
      <c r="D38" s="35"/>
      <c r="E38" s="35"/>
      <c r="F38" s="35"/>
      <c r="G38" s="44"/>
      <c r="H38" s="17"/>
      <c r="I38" s="35"/>
      <c r="J38" s="35"/>
      <c r="K38" s="44">
        <v>0</v>
      </c>
      <c r="L38" s="17"/>
      <c r="M38" s="35"/>
      <c r="N38" s="35"/>
      <c r="O38" s="44">
        <v>0</v>
      </c>
      <c r="P38" s="17"/>
      <c r="Q38" s="35"/>
      <c r="R38" s="35"/>
      <c r="S38" s="44">
        <v>0</v>
      </c>
      <c r="T38" s="17"/>
      <c r="U38" s="35"/>
      <c r="V38" s="91"/>
      <c r="W38" s="100">
        <v>0</v>
      </c>
      <c r="X38" s="102"/>
      <c r="Y38" s="159" t="str">
        <f t="shared" si="0"/>
        <v>OK</v>
      </c>
      <c r="Z38" t="s">
        <v>360</v>
      </c>
      <c r="AA38">
        <v>0</v>
      </c>
    </row>
    <row r="39" spans="1:28" x14ac:dyDescent="0.25">
      <c r="A39" s="16" t="s">
        <v>19</v>
      </c>
      <c r="B39" s="35">
        <v>1300573.3700000001</v>
      </c>
      <c r="C39" s="35"/>
      <c r="D39" s="35">
        <v>1997299.79</v>
      </c>
      <c r="E39" s="35"/>
      <c r="F39" s="35">
        <v>1668506.44</v>
      </c>
      <c r="G39" s="44">
        <v>12</v>
      </c>
      <c r="H39" s="17">
        <v>90609.19</v>
      </c>
      <c r="I39" s="35"/>
      <c r="J39" s="35">
        <v>1410332.5100000002</v>
      </c>
      <c r="K39" s="44">
        <v>11</v>
      </c>
      <c r="L39" s="17">
        <v>101684.67000000001</v>
      </c>
      <c r="M39" s="35"/>
      <c r="N39" s="35">
        <v>579248.88999999943</v>
      </c>
      <c r="O39" s="44">
        <v>11</v>
      </c>
      <c r="P39" s="17">
        <v>120493.39</v>
      </c>
      <c r="Q39" s="35"/>
      <c r="R39" s="35">
        <v>923542.78000000026</v>
      </c>
      <c r="S39" s="44">
        <v>10</v>
      </c>
      <c r="T39" s="17">
        <v>149227.70000000001</v>
      </c>
      <c r="U39" s="35"/>
      <c r="V39" s="91">
        <v>1741251.9900000007</v>
      </c>
      <c r="W39" s="100">
        <v>10</v>
      </c>
      <c r="X39" s="102">
        <v>142499.22</v>
      </c>
      <c r="Y39" s="159" t="str">
        <f t="shared" si="0"/>
        <v>OK</v>
      </c>
      <c r="Z39" t="s">
        <v>19</v>
      </c>
      <c r="AA39">
        <v>10</v>
      </c>
      <c r="AB39">
        <v>142499.22</v>
      </c>
    </row>
    <row r="40" spans="1:28" x14ac:dyDescent="0.25">
      <c r="A40" s="16" t="s">
        <v>385</v>
      </c>
      <c r="B40" s="35">
        <v>2402190.7599999998</v>
      </c>
      <c r="C40" s="35"/>
      <c r="D40" s="35">
        <v>2631997.29</v>
      </c>
      <c r="E40" s="35"/>
      <c r="F40" s="35">
        <v>2930558</v>
      </c>
      <c r="G40" s="44">
        <v>27</v>
      </c>
      <c r="H40" s="17">
        <v>211845.1</v>
      </c>
      <c r="I40" s="35"/>
      <c r="J40" s="35">
        <v>3001971.7</v>
      </c>
      <c r="K40" s="44">
        <v>27</v>
      </c>
      <c r="L40" s="17">
        <v>226155.39</v>
      </c>
      <c r="M40" s="35"/>
      <c r="N40" s="35">
        <v>1871416.0100000002</v>
      </c>
      <c r="O40" s="44">
        <v>12</v>
      </c>
      <c r="P40" s="17">
        <v>3750.7900000000045</v>
      </c>
      <c r="Q40" s="35"/>
      <c r="R40" s="35">
        <v>2147762.0700000003</v>
      </c>
      <c r="S40" s="44">
        <v>25</v>
      </c>
      <c r="T40" s="17">
        <v>242051.9</v>
      </c>
      <c r="U40" s="35"/>
      <c r="V40" s="91">
        <v>2415037.58</v>
      </c>
      <c r="W40" s="100">
        <v>26</v>
      </c>
      <c r="X40" s="102">
        <v>257062.93999999997</v>
      </c>
      <c r="Y40" s="159" t="str">
        <f t="shared" si="0"/>
        <v>OK</v>
      </c>
      <c r="Z40" t="s">
        <v>385</v>
      </c>
      <c r="AA40">
        <v>26</v>
      </c>
      <c r="AB40">
        <v>257062.93999999997</v>
      </c>
    </row>
    <row r="41" spans="1:28" x14ac:dyDescent="0.25">
      <c r="A41" s="16" t="s">
        <v>31</v>
      </c>
      <c r="B41" s="35">
        <v>286300.96999999997</v>
      </c>
      <c r="C41" s="35"/>
      <c r="D41" s="35">
        <v>344501.33000000007</v>
      </c>
      <c r="E41" s="35"/>
      <c r="F41" s="35">
        <v>346600.33</v>
      </c>
      <c r="G41" s="44">
        <v>11</v>
      </c>
      <c r="H41" s="17">
        <v>30515.090000000004</v>
      </c>
      <c r="I41" s="35"/>
      <c r="J41" s="35">
        <v>203244.76000000004</v>
      </c>
      <c r="K41" s="44">
        <v>11</v>
      </c>
      <c r="L41" s="17">
        <v>17835.739999999998</v>
      </c>
      <c r="M41" s="35"/>
      <c r="N41" s="35">
        <v>203525.76000000004</v>
      </c>
      <c r="O41" s="44">
        <v>6</v>
      </c>
      <c r="P41" s="17">
        <v>8145.6100000000006</v>
      </c>
      <c r="Q41" s="35"/>
      <c r="R41" s="35">
        <v>242306.01</v>
      </c>
      <c r="S41" s="44">
        <v>11</v>
      </c>
      <c r="T41" s="17">
        <v>27721.269999999997</v>
      </c>
      <c r="U41" s="35"/>
      <c r="V41" s="91">
        <v>482171.8600000001</v>
      </c>
      <c r="W41" s="100">
        <v>10</v>
      </c>
      <c r="X41" s="102">
        <v>41096.94</v>
      </c>
      <c r="Y41" s="159" t="str">
        <f t="shared" si="0"/>
        <v>OK</v>
      </c>
      <c r="Z41" t="s">
        <v>31</v>
      </c>
      <c r="AA41">
        <v>10</v>
      </c>
      <c r="AB41">
        <v>41096.94</v>
      </c>
    </row>
    <row r="42" spans="1:28" x14ac:dyDescent="0.25">
      <c r="A42" s="16" t="s">
        <v>20</v>
      </c>
      <c r="B42" s="35">
        <v>4083407.2500000005</v>
      </c>
      <c r="C42" s="35"/>
      <c r="D42" s="35">
        <v>4412360.37</v>
      </c>
      <c r="E42" s="35"/>
      <c r="F42" s="35">
        <v>4428382.0600000005</v>
      </c>
      <c r="G42" s="44">
        <v>7</v>
      </c>
      <c r="H42" s="17">
        <v>22441.360000000001</v>
      </c>
      <c r="I42" s="35"/>
      <c r="J42" s="35">
        <v>4129834.5199999991</v>
      </c>
      <c r="K42" s="44">
        <v>8</v>
      </c>
      <c r="L42" s="17">
        <v>45211.69</v>
      </c>
      <c r="M42" s="35"/>
      <c r="N42" s="35">
        <v>4553831.4900000012</v>
      </c>
      <c r="O42" s="44">
        <v>12</v>
      </c>
      <c r="P42" s="17">
        <v>217572.31</v>
      </c>
      <c r="Q42" s="35"/>
      <c r="R42" s="35">
        <v>5769749.8799999999</v>
      </c>
      <c r="S42" s="44">
        <v>21</v>
      </c>
      <c r="T42" s="17">
        <v>43651.37</v>
      </c>
      <c r="U42" s="35"/>
      <c r="V42" s="91">
        <v>6251769.1900000023</v>
      </c>
      <c r="W42" s="100">
        <v>18</v>
      </c>
      <c r="X42" s="102">
        <v>61387.53</v>
      </c>
      <c r="Y42" s="159" t="str">
        <f t="shared" si="0"/>
        <v>OK</v>
      </c>
      <c r="Z42" t="s">
        <v>20</v>
      </c>
      <c r="AA42">
        <v>18</v>
      </c>
      <c r="AB42">
        <v>61387.53</v>
      </c>
    </row>
    <row r="43" spans="1:28" x14ac:dyDescent="0.25">
      <c r="A43" s="16" t="s">
        <v>42</v>
      </c>
      <c r="B43" s="35">
        <v>6575068.7600000007</v>
      </c>
      <c r="C43" s="35"/>
      <c r="D43" s="35">
        <v>7091291.29</v>
      </c>
      <c r="E43" s="35"/>
      <c r="F43" s="35">
        <v>7436456</v>
      </c>
      <c r="G43" s="44">
        <v>37</v>
      </c>
      <c r="H43" s="17">
        <v>118666.37</v>
      </c>
      <c r="I43" s="35"/>
      <c r="J43" s="35">
        <v>7248933.3799999934</v>
      </c>
      <c r="K43" s="44">
        <v>31</v>
      </c>
      <c r="L43" s="17">
        <v>119354.77</v>
      </c>
      <c r="M43" s="35"/>
      <c r="N43" s="35">
        <v>6470497.370000002</v>
      </c>
      <c r="O43" s="44">
        <v>28</v>
      </c>
      <c r="P43" s="17">
        <v>157226.53</v>
      </c>
      <c r="Q43" s="35"/>
      <c r="R43" s="35">
        <v>6827279.6699999925</v>
      </c>
      <c r="S43" s="44">
        <v>35</v>
      </c>
      <c r="T43" s="17">
        <v>271164.13</v>
      </c>
      <c r="U43" s="35"/>
      <c r="V43" s="91">
        <v>6900877.9100000001</v>
      </c>
      <c r="W43" s="100">
        <v>36</v>
      </c>
      <c r="X43" s="102">
        <v>170609.99</v>
      </c>
      <c r="Y43" s="159" t="str">
        <f t="shared" si="0"/>
        <v>OK</v>
      </c>
      <c r="Z43" t="s">
        <v>42</v>
      </c>
      <c r="AA43">
        <v>36</v>
      </c>
      <c r="AB43">
        <v>170609.99</v>
      </c>
    </row>
    <row r="44" spans="1:28" x14ac:dyDescent="0.25">
      <c r="A44" s="16" t="s">
        <v>43</v>
      </c>
      <c r="B44" s="35">
        <v>6228292.9899999993</v>
      </c>
      <c r="C44" s="35"/>
      <c r="D44" s="35">
        <v>6804237.2600000016</v>
      </c>
      <c r="E44" s="35"/>
      <c r="F44" s="35">
        <v>6275062</v>
      </c>
      <c r="G44" s="44">
        <v>36</v>
      </c>
      <c r="H44" s="17">
        <v>174488.79</v>
      </c>
      <c r="I44" s="35"/>
      <c r="J44" s="35">
        <v>5814718.7599999998</v>
      </c>
      <c r="K44" s="44">
        <v>39</v>
      </c>
      <c r="L44" s="17">
        <v>126993.59</v>
      </c>
      <c r="M44" s="35"/>
      <c r="N44" s="35">
        <v>6106256.0000000019</v>
      </c>
      <c r="O44" s="44">
        <v>38</v>
      </c>
      <c r="P44" s="17">
        <v>78030.39</v>
      </c>
      <c r="Q44" s="35"/>
      <c r="R44" s="35">
        <v>6226791.7999999952</v>
      </c>
      <c r="S44" s="44">
        <v>17</v>
      </c>
      <c r="T44" s="17">
        <v>47779.729999999996</v>
      </c>
      <c r="U44" s="35"/>
      <c r="V44" s="91">
        <v>6861338.0099999988</v>
      </c>
      <c r="W44" s="100">
        <v>14</v>
      </c>
      <c r="X44" s="102">
        <v>192142.31</v>
      </c>
      <c r="Y44" s="159" t="str">
        <f t="shared" si="0"/>
        <v>OK</v>
      </c>
      <c r="Z44" t="s">
        <v>43</v>
      </c>
      <c r="AA44">
        <v>14</v>
      </c>
      <c r="AB44">
        <v>192142.31</v>
      </c>
    </row>
    <row r="45" spans="1:28" x14ac:dyDescent="0.25">
      <c r="A45" s="16" t="s">
        <v>34</v>
      </c>
      <c r="B45" s="35">
        <v>0</v>
      </c>
      <c r="C45" s="35"/>
      <c r="D45" s="35">
        <v>0</v>
      </c>
      <c r="E45" s="35"/>
      <c r="F45" s="35">
        <v>0</v>
      </c>
      <c r="G45" s="44">
        <v>0</v>
      </c>
      <c r="H45" s="17">
        <v>0</v>
      </c>
      <c r="I45" s="35"/>
      <c r="J45" s="35">
        <v>0</v>
      </c>
      <c r="K45" s="44">
        <v>0</v>
      </c>
      <c r="L45" s="17">
        <v>0</v>
      </c>
      <c r="M45" s="35"/>
      <c r="N45" s="35">
        <v>0</v>
      </c>
      <c r="O45" s="44">
        <v>0</v>
      </c>
      <c r="P45" s="17">
        <v>0</v>
      </c>
      <c r="Q45" s="35"/>
      <c r="R45" s="35">
        <v>0</v>
      </c>
      <c r="S45" s="44">
        <v>0</v>
      </c>
      <c r="T45" s="17">
        <v>0</v>
      </c>
      <c r="U45" s="35"/>
      <c r="V45" s="91">
        <v>0</v>
      </c>
      <c r="W45" s="100">
        <v>0</v>
      </c>
      <c r="X45" s="102">
        <v>0</v>
      </c>
      <c r="Y45" s="159" t="str">
        <f t="shared" si="0"/>
        <v>OK</v>
      </c>
      <c r="Z45" t="s">
        <v>34</v>
      </c>
      <c r="AA45">
        <v>0</v>
      </c>
      <c r="AB45">
        <v>0</v>
      </c>
    </row>
    <row r="46" spans="1:28" x14ac:dyDescent="0.25">
      <c r="A46" s="16" t="s">
        <v>35</v>
      </c>
      <c r="B46" s="35">
        <v>5011.72</v>
      </c>
      <c r="C46" s="35"/>
      <c r="D46" s="35">
        <v>3067.13</v>
      </c>
      <c r="E46" s="35"/>
      <c r="F46" s="35">
        <v>16362.17</v>
      </c>
      <c r="G46" s="44">
        <v>1</v>
      </c>
      <c r="H46" s="17">
        <v>0.76</v>
      </c>
      <c r="I46" s="35"/>
      <c r="J46" s="35">
        <v>24206.550000000003</v>
      </c>
      <c r="K46" s="44">
        <v>1</v>
      </c>
      <c r="L46" s="17">
        <v>6.78</v>
      </c>
      <c r="M46" s="35"/>
      <c r="N46" s="35">
        <v>31388.68</v>
      </c>
      <c r="O46" s="44">
        <v>0</v>
      </c>
      <c r="P46" s="17">
        <v>0</v>
      </c>
      <c r="Q46" s="35"/>
      <c r="R46" s="35">
        <v>36580.420000000006</v>
      </c>
      <c r="S46" s="44">
        <v>3</v>
      </c>
      <c r="T46" s="17">
        <v>8509.94</v>
      </c>
      <c r="U46" s="35"/>
      <c r="V46" s="91">
        <v>28601.239999999998</v>
      </c>
      <c r="W46" s="100">
        <v>1</v>
      </c>
      <c r="X46" s="102">
        <v>200.43</v>
      </c>
      <c r="Y46" s="159" t="str">
        <f t="shared" si="0"/>
        <v>OK</v>
      </c>
      <c r="Z46" t="s">
        <v>35</v>
      </c>
      <c r="AA46">
        <v>1</v>
      </c>
      <c r="AB46">
        <v>200.43</v>
      </c>
    </row>
    <row r="47" spans="1:28" x14ac:dyDescent="0.25">
      <c r="A47" s="16" t="s">
        <v>386</v>
      </c>
      <c r="B47" s="35">
        <v>4206238.99</v>
      </c>
      <c r="C47" s="35"/>
      <c r="D47" s="35">
        <v>4324322.17</v>
      </c>
      <c r="E47" s="35"/>
      <c r="F47" s="35">
        <v>4085026</v>
      </c>
      <c r="G47" s="44">
        <v>12</v>
      </c>
      <c r="H47" s="17">
        <v>147392.98000000001</v>
      </c>
      <c r="I47" s="35"/>
      <c r="J47" s="35">
        <v>4771130.2600000007</v>
      </c>
      <c r="K47" s="44">
        <v>12</v>
      </c>
      <c r="L47" s="17">
        <v>166726.25</v>
      </c>
      <c r="M47" s="35"/>
      <c r="N47" s="35">
        <v>5211954.07</v>
      </c>
      <c r="O47" s="44">
        <v>4</v>
      </c>
      <c r="P47" s="17">
        <v>49176.17</v>
      </c>
      <c r="Q47" s="35"/>
      <c r="R47" s="35">
        <v>5475366.2599999998</v>
      </c>
      <c r="S47" s="44">
        <v>13</v>
      </c>
      <c r="T47" s="17">
        <v>402660.74</v>
      </c>
      <c r="U47" s="35"/>
      <c r="V47" s="91">
        <v>6118063.6799999997</v>
      </c>
      <c r="W47" s="100">
        <v>8</v>
      </c>
      <c r="X47" s="102">
        <v>454708.07999999996</v>
      </c>
      <c r="Y47" s="159" t="str">
        <f t="shared" si="0"/>
        <v>OK</v>
      </c>
      <c r="Z47" t="s">
        <v>386</v>
      </c>
      <c r="AA47">
        <v>8</v>
      </c>
      <c r="AB47">
        <v>454708.07999999996</v>
      </c>
    </row>
    <row r="48" spans="1:28" x14ac:dyDescent="0.25">
      <c r="A48" s="16" t="s">
        <v>36</v>
      </c>
      <c r="B48" s="35">
        <v>3211390.1</v>
      </c>
      <c r="C48" s="35"/>
      <c r="D48" s="35">
        <v>3103009.05</v>
      </c>
      <c r="E48" s="35"/>
      <c r="F48" s="35">
        <v>3085465</v>
      </c>
      <c r="G48" s="44">
        <v>19</v>
      </c>
      <c r="H48" s="17">
        <v>464081.95999999996</v>
      </c>
      <c r="I48" s="35"/>
      <c r="J48" s="35">
        <v>2125690.81</v>
      </c>
      <c r="K48" s="44">
        <v>18</v>
      </c>
      <c r="L48" s="17">
        <v>139331.28999999998</v>
      </c>
      <c r="M48" s="35"/>
      <c r="N48" s="35">
        <v>3978685.56</v>
      </c>
      <c r="O48" s="44">
        <v>4</v>
      </c>
      <c r="P48" s="17">
        <v>104966.84</v>
      </c>
      <c r="Q48" s="35"/>
      <c r="R48" s="35">
        <v>18830702.749999996</v>
      </c>
      <c r="S48" s="44">
        <v>20</v>
      </c>
      <c r="T48" s="17">
        <v>45337.759999999951</v>
      </c>
      <c r="U48" s="35"/>
      <c r="V48" s="91">
        <v>12277748.35</v>
      </c>
      <c r="W48" s="100">
        <v>18</v>
      </c>
      <c r="X48" s="102">
        <v>287030.37</v>
      </c>
      <c r="Y48" s="159" t="str">
        <f t="shared" si="0"/>
        <v>OK</v>
      </c>
      <c r="Z48" t="s">
        <v>36</v>
      </c>
      <c r="AA48">
        <v>18</v>
      </c>
      <c r="AB48">
        <v>287030.37</v>
      </c>
    </row>
    <row r="49" spans="1:28" x14ac:dyDescent="0.25">
      <c r="A49" s="16" t="s">
        <v>38</v>
      </c>
      <c r="B49" s="35"/>
      <c r="C49" s="35"/>
      <c r="D49" s="35"/>
      <c r="E49" s="35"/>
      <c r="F49" s="35"/>
      <c r="G49" s="44">
        <v>0</v>
      </c>
      <c r="H49" s="17">
        <v>0</v>
      </c>
      <c r="I49" s="35"/>
      <c r="J49" s="35">
        <v>0</v>
      </c>
      <c r="K49" s="44">
        <v>0</v>
      </c>
      <c r="L49" s="17">
        <v>0</v>
      </c>
      <c r="M49" s="35"/>
      <c r="N49" s="35">
        <v>0</v>
      </c>
      <c r="O49" s="44">
        <v>0</v>
      </c>
      <c r="P49" s="17">
        <v>0</v>
      </c>
      <c r="Q49" s="35"/>
      <c r="R49" s="35">
        <v>0</v>
      </c>
      <c r="S49" s="44">
        <v>0</v>
      </c>
      <c r="T49" s="17">
        <v>0</v>
      </c>
      <c r="U49" s="35"/>
      <c r="V49" s="91">
        <v>0</v>
      </c>
      <c r="W49" s="100">
        <v>0</v>
      </c>
      <c r="X49" s="102">
        <v>0</v>
      </c>
      <c r="Y49" s="159" t="str">
        <f t="shared" si="0"/>
        <v>OK</v>
      </c>
      <c r="Z49" t="s">
        <v>38</v>
      </c>
      <c r="AA49">
        <v>0</v>
      </c>
      <c r="AB49">
        <v>0</v>
      </c>
    </row>
    <row r="50" spans="1:28" x14ac:dyDescent="0.25">
      <c r="A50" s="16" t="s">
        <v>39</v>
      </c>
      <c r="B50" s="35">
        <v>-70.990000000000009</v>
      </c>
      <c r="C50" s="35"/>
      <c r="D50" s="35">
        <v>0</v>
      </c>
      <c r="E50" s="35"/>
      <c r="F50" s="35">
        <v>0</v>
      </c>
      <c r="G50" s="44">
        <v>0</v>
      </c>
      <c r="H50" s="17">
        <v>0</v>
      </c>
      <c r="I50" s="35"/>
      <c r="J50" s="35">
        <v>0</v>
      </c>
      <c r="K50" s="44">
        <v>0</v>
      </c>
      <c r="L50" s="17">
        <v>0</v>
      </c>
      <c r="M50" s="35"/>
      <c r="N50" s="35">
        <v>0</v>
      </c>
      <c r="O50" s="44">
        <v>0</v>
      </c>
      <c r="P50" s="17">
        <v>0</v>
      </c>
      <c r="Q50" s="35"/>
      <c r="R50" s="35">
        <v>0</v>
      </c>
      <c r="S50" s="44">
        <v>0</v>
      </c>
      <c r="T50" s="17">
        <v>0</v>
      </c>
      <c r="U50" s="35"/>
      <c r="V50" s="91">
        <v>0</v>
      </c>
      <c r="W50" s="100">
        <v>0</v>
      </c>
      <c r="X50" s="102">
        <v>0</v>
      </c>
      <c r="Y50" s="159" t="str">
        <f t="shared" si="0"/>
        <v>OK</v>
      </c>
      <c r="Z50" t="s">
        <v>39</v>
      </c>
      <c r="AA50">
        <v>0</v>
      </c>
      <c r="AB50">
        <v>0</v>
      </c>
    </row>
    <row r="51" spans="1:28" x14ac:dyDescent="0.25">
      <c r="A51" s="16" t="s">
        <v>40</v>
      </c>
      <c r="B51" s="35">
        <v>3532704.45</v>
      </c>
      <c r="C51" s="35"/>
      <c r="D51" s="35">
        <v>4127664.4800000004</v>
      </c>
      <c r="E51" s="35"/>
      <c r="F51" s="35">
        <v>4844366.93</v>
      </c>
      <c r="G51" s="44">
        <v>58</v>
      </c>
      <c r="H51" s="17">
        <v>522134.55</v>
      </c>
      <c r="I51" s="35"/>
      <c r="J51" s="35">
        <v>4684533.6099999994</v>
      </c>
      <c r="K51" s="44">
        <v>62</v>
      </c>
      <c r="L51" s="17">
        <v>193325.72999999998</v>
      </c>
      <c r="M51" s="35"/>
      <c r="N51" s="35">
        <v>5550791.1799999997</v>
      </c>
      <c r="O51" s="44">
        <v>24</v>
      </c>
      <c r="P51" s="17">
        <v>214767.88999999996</v>
      </c>
      <c r="Q51" s="35"/>
      <c r="R51" s="35">
        <v>6708442.8999999976</v>
      </c>
      <c r="S51" s="44">
        <v>59</v>
      </c>
      <c r="T51" s="17">
        <v>498364.79</v>
      </c>
      <c r="U51" s="35"/>
      <c r="V51" s="91">
        <v>8041817.7400000021</v>
      </c>
      <c r="W51" s="100">
        <v>47</v>
      </c>
      <c r="X51" s="102">
        <v>466575.12</v>
      </c>
      <c r="Y51" s="159" t="str">
        <f t="shared" si="0"/>
        <v>OK</v>
      </c>
      <c r="Z51" t="s">
        <v>40</v>
      </c>
      <c r="AA51">
        <v>47</v>
      </c>
      <c r="AB51">
        <v>466575.12</v>
      </c>
    </row>
    <row r="52" spans="1:28" x14ac:dyDescent="0.25">
      <c r="A52" s="16"/>
      <c r="B52" s="16"/>
      <c r="C52" s="16"/>
      <c r="D52" s="16"/>
      <c r="E52" s="16"/>
      <c r="F52" s="16"/>
      <c r="G52" s="16"/>
      <c r="H52" s="16"/>
      <c r="I52" s="16"/>
      <c r="J52" s="16"/>
      <c r="K52" s="16"/>
      <c r="L52" s="16"/>
      <c r="M52" s="16"/>
      <c r="N52" s="16"/>
      <c r="O52" s="16"/>
      <c r="P52" s="16"/>
      <c r="Q52" s="16"/>
      <c r="R52" s="16"/>
      <c r="S52" s="16"/>
      <c r="T52" s="16"/>
      <c r="U52" s="16"/>
      <c r="V52" s="92"/>
      <c r="W52" s="92"/>
      <c r="X52" s="92"/>
    </row>
    <row r="53" spans="1:28" ht="15.75" thickBot="1" x14ac:dyDescent="0.3">
      <c r="A53" s="25" t="s">
        <v>123</v>
      </c>
      <c r="B53" s="36">
        <v>510868935.22000003</v>
      </c>
      <c r="C53" s="309"/>
      <c r="D53" s="36">
        <v>540176847.08999991</v>
      </c>
      <c r="E53" s="309"/>
      <c r="F53" s="36">
        <v>575983925.42999995</v>
      </c>
      <c r="G53" s="28">
        <v>1960</v>
      </c>
      <c r="H53" s="36">
        <v>45865088.279999994</v>
      </c>
      <c r="I53" s="309"/>
      <c r="J53" s="36">
        <v>606836102.05999994</v>
      </c>
      <c r="K53" s="28">
        <v>2094</v>
      </c>
      <c r="L53" s="36">
        <v>49914719.49000001</v>
      </c>
      <c r="M53" s="309"/>
      <c r="N53" s="36">
        <v>631307518.1699996</v>
      </c>
      <c r="O53" s="28">
        <v>2057</v>
      </c>
      <c r="P53" s="36">
        <v>54241749.920000009</v>
      </c>
      <c r="Q53" s="309"/>
      <c r="R53" s="36">
        <v>697184338.20999908</v>
      </c>
      <c r="S53" s="28">
        <v>2240</v>
      </c>
      <c r="T53" s="36">
        <v>63035940.899999991</v>
      </c>
      <c r="U53" s="309"/>
      <c r="V53" s="318">
        <f>SUM(V6:V51)</f>
        <v>761510156.57999969</v>
      </c>
      <c r="W53" s="317">
        <f>SUM(W6:W51)</f>
        <v>2330</v>
      </c>
      <c r="X53" s="318">
        <f>SUM(X6:X51)</f>
        <v>72069616.13000001</v>
      </c>
      <c r="AA53">
        <f>SUM(AA6:AA51)</f>
        <v>2330</v>
      </c>
      <c r="AB53">
        <f>SUM(AB6:AB51)</f>
        <v>72069616.13000001</v>
      </c>
    </row>
    <row r="54" spans="1:28" ht="15.75" thickTop="1" x14ac:dyDescent="0.25"/>
  </sheetData>
  <sortState ref="A6:AC51">
    <sortCondition ref="A6"/>
  </sortState>
  <mergeCells count="5">
    <mergeCell ref="G3:H3"/>
    <mergeCell ref="K3:L3"/>
    <mergeCell ref="O3:P3"/>
    <mergeCell ref="S3:T3"/>
    <mergeCell ref="W3:X3"/>
  </mergeCells>
  <pageMargins left="0.7" right="0.7" top="0.75" bottom="0.75" header="0.3" footer="0.3"/>
  <pageSetup orientation="portrait" r:id="rId1"/>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Z54"/>
  <sheetViews>
    <sheetView workbookViewId="0">
      <pane xSplit="1" ySplit="5" topLeftCell="AN42"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2" max="2" width="12.5703125" bestFit="1" customWidth="1"/>
    <col min="3" max="3" width="11.5703125" bestFit="1" customWidth="1"/>
    <col min="4" max="4" width="7.140625" bestFit="1" customWidth="1"/>
    <col min="5" max="5" width="11.5703125" bestFit="1" customWidth="1"/>
    <col min="6" max="6" width="6.140625" bestFit="1" customWidth="1"/>
    <col min="7" max="7" width="9.5703125" customWidth="1"/>
    <col min="8" max="8" width="10.5703125" bestFit="1" customWidth="1"/>
    <col min="9" max="9" width="1.7109375" customWidth="1"/>
    <col min="10" max="10" width="12.5703125" bestFit="1" customWidth="1"/>
    <col min="11" max="11" width="11.5703125" bestFit="1" customWidth="1"/>
    <col min="12" max="12" width="7.140625" bestFit="1" customWidth="1"/>
    <col min="13" max="13" width="11.5703125" bestFit="1" customWidth="1"/>
    <col min="14" max="14" width="6.140625" bestFit="1" customWidth="1"/>
    <col min="15" max="15" width="7.42578125" bestFit="1" customWidth="1"/>
    <col min="16" max="16" width="10.5703125" bestFit="1" customWidth="1"/>
    <col min="17" max="17" width="1.7109375" customWidth="1"/>
    <col min="18" max="18" width="12.5703125" bestFit="1" customWidth="1"/>
    <col min="19" max="19" width="11.5703125" bestFit="1" customWidth="1"/>
    <col min="20" max="20" width="7.7109375" bestFit="1" customWidth="1"/>
    <col min="21" max="21" width="11.5703125" bestFit="1" customWidth="1"/>
    <col min="22" max="22" width="7.7109375" bestFit="1" customWidth="1"/>
    <col min="23" max="23" width="7.42578125" bestFit="1" customWidth="1"/>
    <col min="24" max="24" width="10.5703125" bestFit="1" customWidth="1"/>
    <col min="25" max="25" width="1.7109375" customWidth="1"/>
    <col min="26" max="26" width="12.5703125" bestFit="1" customWidth="1"/>
    <col min="27" max="27" width="11.5703125" bestFit="1" customWidth="1"/>
    <col min="28" max="28" width="7.7109375" bestFit="1" customWidth="1"/>
    <col min="29" max="29" width="11.5703125" bestFit="1" customWidth="1"/>
    <col min="30" max="30" width="7.7109375" bestFit="1" customWidth="1"/>
    <col min="31" max="31" width="7.42578125" bestFit="1" customWidth="1"/>
    <col min="32" max="32" width="10.5703125" bestFit="1" customWidth="1"/>
    <col min="33" max="33" width="1.7109375" customWidth="1"/>
    <col min="34" max="34" width="12.5703125" bestFit="1" customWidth="1"/>
    <col min="35" max="35" width="11.5703125" bestFit="1" customWidth="1"/>
    <col min="36" max="36" width="7.7109375" bestFit="1" customWidth="1"/>
    <col min="37" max="37" width="11.5703125" bestFit="1" customWidth="1"/>
    <col min="38" max="38" width="7.7109375" bestFit="1" customWidth="1"/>
    <col min="39" max="39" width="7.42578125" bestFit="1" customWidth="1"/>
    <col min="40" max="40" width="10.5703125" bestFit="1" customWidth="1"/>
    <col min="41" max="41" width="1.7109375" customWidth="1"/>
    <col min="42" max="42" width="12.5703125" bestFit="1" customWidth="1"/>
    <col min="43" max="43" width="11.5703125" bestFit="1" customWidth="1"/>
    <col min="44" max="44" width="7.7109375" bestFit="1" customWidth="1"/>
    <col min="45" max="45" width="11.5703125" bestFit="1" customWidth="1"/>
    <col min="46" max="46" width="7.7109375" bestFit="1" customWidth="1"/>
    <col min="47" max="47" width="7.42578125" bestFit="1" customWidth="1"/>
    <col min="48" max="48" width="10.5703125" bestFit="1" customWidth="1"/>
    <col min="50" max="50" width="31.5703125" customWidth="1"/>
    <col min="52" max="52" width="12" bestFit="1" customWidth="1"/>
  </cols>
  <sheetData>
    <row r="1" spans="1:52"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c r="AJ1" s="29">
        <v>36</v>
      </c>
      <c r="AK1" s="29">
        <v>37</v>
      </c>
      <c r="AL1" s="29">
        <v>38</v>
      </c>
      <c r="AM1" s="29">
        <v>39</v>
      </c>
      <c r="AN1" s="29">
        <v>40</v>
      </c>
      <c r="AO1" s="29">
        <v>41</v>
      </c>
      <c r="AP1" s="29">
        <v>42</v>
      </c>
      <c r="AQ1" s="29">
        <v>43</v>
      </c>
      <c r="AR1" s="29">
        <v>44</v>
      </c>
      <c r="AS1" s="29">
        <v>45</v>
      </c>
      <c r="AT1" s="29">
        <v>46</v>
      </c>
      <c r="AU1" s="29">
        <v>47</v>
      </c>
      <c r="AV1" s="29">
        <v>48</v>
      </c>
    </row>
    <row r="2" spans="1:52" x14ac:dyDescent="0.25">
      <c r="B2" s="48" t="s">
        <v>416</v>
      </c>
      <c r="C2" s="48"/>
      <c r="D2" s="48"/>
      <c r="E2" s="48"/>
      <c r="F2" s="48"/>
      <c r="G2" s="50"/>
      <c r="H2" s="48"/>
      <c r="I2" s="38"/>
      <c r="J2" s="48"/>
      <c r="K2" s="48"/>
      <c r="L2" s="48"/>
      <c r="M2" s="48"/>
      <c r="N2" s="48"/>
      <c r="O2" s="50"/>
      <c r="P2" s="48"/>
      <c r="Q2" s="38"/>
      <c r="R2" s="48"/>
      <c r="S2" s="48"/>
      <c r="T2" s="48"/>
      <c r="U2" s="48"/>
      <c r="V2" s="48"/>
      <c r="W2" s="50"/>
      <c r="X2" s="48"/>
      <c r="Y2" s="38"/>
      <c r="Z2" s="48"/>
      <c r="AA2" s="48"/>
      <c r="AB2" s="48"/>
      <c r="AC2" s="48"/>
      <c r="AD2" s="48"/>
      <c r="AE2" s="50"/>
      <c r="AF2" s="48"/>
      <c r="AG2" s="38"/>
      <c r="AH2" s="48"/>
      <c r="AI2" s="48"/>
      <c r="AJ2" s="48"/>
      <c r="AK2" s="48"/>
      <c r="AL2" s="48"/>
      <c r="AM2" s="50"/>
      <c r="AN2" s="48"/>
      <c r="AO2" s="38"/>
      <c r="AP2" s="48"/>
      <c r="AQ2" s="48"/>
      <c r="AR2" s="48"/>
      <c r="AS2" s="48"/>
      <c r="AT2" s="48"/>
      <c r="AU2" s="50"/>
      <c r="AV2" s="48"/>
    </row>
    <row r="3" spans="1:52" ht="33.75" customHeight="1" x14ac:dyDescent="0.25">
      <c r="B3" s="49" t="s">
        <v>48</v>
      </c>
      <c r="C3" s="413" t="s">
        <v>152</v>
      </c>
      <c r="D3" s="413"/>
      <c r="E3" s="413" t="s">
        <v>50</v>
      </c>
      <c r="F3" s="413"/>
      <c r="G3" s="412" t="s">
        <v>154</v>
      </c>
      <c r="H3" s="412"/>
      <c r="I3" s="73"/>
      <c r="J3" s="49" t="s">
        <v>48</v>
      </c>
      <c r="K3" s="413" t="s">
        <v>152</v>
      </c>
      <c r="L3" s="413"/>
      <c r="M3" s="413" t="s">
        <v>50</v>
      </c>
      <c r="N3" s="413"/>
      <c r="O3" s="412" t="s">
        <v>154</v>
      </c>
      <c r="P3" s="412"/>
      <c r="Q3" s="73"/>
      <c r="R3" s="49" t="s">
        <v>48</v>
      </c>
      <c r="S3" s="413" t="s">
        <v>152</v>
      </c>
      <c r="T3" s="413"/>
      <c r="U3" s="413" t="s">
        <v>50</v>
      </c>
      <c r="V3" s="413"/>
      <c r="W3" s="412" t="s">
        <v>154</v>
      </c>
      <c r="X3" s="412"/>
      <c r="Y3" s="73"/>
      <c r="Z3" s="49" t="s">
        <v>48</v>
      </c>
      <c r="AA3" s="413" t="s">
        <v>152</v>
      </c>
      <c r="AB3" s="413"/>
      <c r="AC3" s="413" t="s">
        <v>50</v>
      </c>
      <c r="AD3" s="413"/>
      <c r="AE3" s="412" t="s">
        <v>154</v>
      </c>
      <c r="AF3" s="412"/>
      <c r="AG3" s="73"/>
      <c r="AH3" s="49" t="s">
        <v>48</v>
      </c>
      <c r="AI3" s="413" t="s">
        <v>152</v>
      </c>
      <c r="AJ3" s="413"/>
      <c r="AK3" s="413" t="s">
        <v>50</v>
      </c>
      <c r="AL3" s="413"/>
      <c r="AM3" s="412" t="s">
        <v>154</v>
      </c>
      <c r="AN3" s="412"/>
      <c r="AO3" s="73"/>
      <c r="AP3" s="49" t="s">
        <v>48</v>
      </c>
      <c r="AQ3" s="413" t="s">
        <v>152</v>
      </c>
      <c r="AR3" s="413"/>
      <c r="AS3" s="413" t="s">
        <v>50</v>
      </c>
      <c r="AT3" s="413"/>
      <c r="AU3" s="412" t="s">
        <v>154</v>
      </c>
      <c r="AV3" s="412"/>
    </row>
    <row r="4" spans="1:52" ht="18" customHeight="1" x14ac:dyDescent="0.25">
      <c r="B4" s="15">
        <v>2015</v>
      </c>
      <c r="C4" s="15">
        <v>2015</v>
      </c>
      <c r="D4" s="15">
        <v>2015</v>
      </c>
      <c r="E4" s="15">
        <v>2015</v>
      </c>
      <c r="F4" s="15">
        <v>2015</v>
      </c>
      <c r="G4" s="15">
        <v>2015</v>
      </c>
      <c r="H4" s="15">
        <v>2015</v>
      </c>
      <c r="I4" s="15"/>
      <c r="J4" s="15">
        <v>2016</v>
      </c>
      <c r="K4" s="15">
        <v>2016</v>
      </c>
      <c r="L4" s="15">
        <v>2016</v>
      </c>
      <c r="M4" s="15">
        <v>2016</v>
      </c>
      <c r="N4" s="15">
        <v>2016</v>
      </c>
      <c r="O4" s="15">
        <v>2016</v>
      </c>
      <c r="P4" s="15">
        <v>2016</v>
      </c>
      <c r="Q4" s="15"/>
      <c r="R4" s="15">
        <v>2017</v>
      </c>
      <c r="S4" s="15">
        <v>2017</v>
      </c>
      <c r="T4" s="15">
        <v>2017</v>
      </c>
      <c r="U4" s="15">
        <v>2017</v>
      </c>
      <c r="V4" s="15">
        <v>2017</v>
      </c>
      <c r="W4" s="15">
        <v>2017</v>
      </c>
      <c r="X4" s="15">
        <v>2017</v>
      </c>
      <c r="Y4" s="15"/>
      <c r="Z4" s="15">
        <v>2018</v>
      </c>
      <c r="AA4" s="15">
        <v>2018</v>
      </c>
      <c r="AB4" s="15">
        <v>2018</v>
      </c>
      <c r="AC4" s="15">
        <v>2018</v>
      </c>
      <c r="AD4" s="15">
        <v>2018</v>
      </c>
      <c r="AE4" s="15">
        <v>2018</v>
      </c>
      <c r="AF4" s="15">
        <v>2018</v>
      </c>
      <c r="AG4" s="15"/>
      <c r="AH4" s="15">
        <v>2019</v>
      </c>
      <c r="AI4" s="15">
        <v>2019</v>
      </c>
      <c r="AJ4" s="15">
        <v>2019</v>
      </c>
      <c r="AK4" s="15">
        <v>2019</v>
      </c>
      <c r="AL4" s="15">
        <v>2019</v>
      </c>
      <c r="AM4" s="15">
        <v>2019</v>
      </c>
      <c r="AN4" s="15">
        <v>2019</v>
      </c>
      <c r="AO4" s="15"/>
      <c r="AP4" s="15">
        <v>2020</v>
      </c>
      <c r="AQ4" s="15">
        <v>2020</v>
      </c>
      <c r="AR4" s="15">
        <v>2020</v>
      </c>
      <c r="AS4" s="15">
        <v>2020</v>
      </c>
      <c r="AT4" s="15">
        <v>2020</v>
      </c>
      <c r="AU4" s="15">
        <v>2020</v>
      </c>
      <c r="AV4" s="15">
        <v>2020</v>
      </c>
    </row>
    <row r="5" spans="1:52" ht="30" customHeight="1" x14ac:dyDescent="0.25">
      <c r="A5" s="40" t="s">
        <v>44</v>
      </c>
      <c r="B5" s="41" t="s">
        <v>49</v>
      </c>
      <c r="C5" s="41" t="s">
        <v>49</v>
      </c>
      <c r="D5" s="41" t="s">
        <v>153</v>
      </c>
      <c r="E5" s="41" t="s">
        <v>49</v>
      </c>
      <c r="F5" s="41" t="s">
        <v>153</v>
      </c>
      <c r="G5" s="41" t="s">
        <v>47</v>
      </c>
      <c r="H5" s="41" t="s">
        <v>49</v>
      </c>
      <c r="I5" s="41"/>
      <c r="J5" s="41" t="s">
        <v>49</v>
      </c>
      <c r="K5" s="41" t="s">
        <v>49</v>
      </c>
      <c r="L5" s="41" t="s">
        <v>153</v>
      </c>
      <c r="M5" s="41" t="s">
        <v>49</v>
      </c>
      <c r="N5" s="41" t="s">
        <v>153</v>
      </c>
      <c r="O5" s="41" t="s">
        <v>47</v>
      </c>
      <c r="P5" s="41" t="s">
        <v>49</v>
      </c>
      <c r="Q5" s="41"/>
      <c r="R5" s="41" t="s">
        <v>49</v>
      </c>
      <c r="S5" s="41" t="s">
        <v>49</v>
      </c>
      <c r="T5" s="41" t="s">
        <v>153</v>
      </c>
      <c r="U5" s="41" t="s">
        <v>49</v>
      </c>
      <c r="V5" s="41" t="s">
        <v>153</v>
      </c>
      <c r="W5" s="41" t="s">
        <v>47</v>
      </c>
      <c r="X5" s="41" t="s">
        <v>49</v>
      </c>
      <c r="Y5" s="41"/>
      <c r="Z5" s="41" t="s">
        <v>49</v>
      </c>
      <c r="AA5" s="41" t="s">
        <v>49</v>
      </c>
      <c r="AB5" s="41" t="s">
        <v>153</v>
      </c>
      <c r="AC5" s="41" t="s">
        <v>49</v>
      </c>
      <c r="AD5" s="41" t="s">
        <v>153</v>
      </c>
      <c r="AE5" s="41" t="s">
        <v>47</v>
      </c>
      <c r="AF5" s="41" t="s">
        <v>49</v>
      </c>
      <c r="AG5" s="41"/>
      <c r="AH5" s="41" t="s">
        <v>49</v>
      </c>
      <c r="AI5" s="41" t="s">
        <v>49</v>
      </c>
      <c r="AJ5" s="41" t="s">
        <v>153</v>
      </c>
      <c r="AK5" s="41" t="s">
        <v>49</v>
      </c>
      <c r="AL5" s="41" t="s">
        <v>153</v>
      </c>
      <c r="AM5" s="41" t="s">
        <v>47</v>
      </c>
      <c r="AN5" s="41" t="s">
        <v>49</v>
      </c>
      <c r="AO5" s="41"/>
      <c r="AP5" s="41" t="s">
        <v>49</v>
      </c>
      <c r="AQ5" s="41" t="s">
        <v>49</v>
      </c>
      <c r="AR5" s="41" t="s">
        <v>153</v>
      </c>
      <c r="AS5" s="41" t="s">
        <v>49</v>
      </c>
      <c r="AT5" s="41" t="s">
        <v>153</v>
      </c>
      <c r="AU5" s="41" t="s">
        <v>428</v>
      </c>
      <c r="AV5" s="41" t="s">
        <v>49</v>
      </c>
      <c r="AY5" s="41" t="s">
        <v>47</v>
      </c>
      <c r="AZ5" s="41" t="s">
        <v>49</v>
      </c>
    </row>
    <row r="6" spans="1:52" x14ac:dyDescent="0.25">
      <c r="A6" s="16" t="s">
        <v>0</v>
      </c>
      <c r="B6" s="17">
        <v>2806042</v>
      </c>
      <c r="C6" s="17">
        <v>269766</v>
      </c>
      <c r="D6" s="26">
        <v>9.6137548903402009E-2</v>
      </c>
      <c r="E6" s="17">
        <v>88185</v>
      </c>
      <c r="F6" s="26">
        <v>3.1426828251323397E-2</v>
      </c>
      <c r="G6" s="44"/>
      <c r="H6" s="17"/>
      <c r="I6" s="17"/>
      <c r="J6" s="17">
        <v>3466494</v>
      </c>
      <c r="K6" s="17">
        <v>316605</v>
      </c>
      <c r="L6" s="26">
        <v>9.1332914466316681E-2</v>
      </c>
      <c r="M6" s="17">
        <v>202215</v>
      </c>
      <c r="N6" s="26">
        <v>5.8334155489667659E-2</v>
      </c>
      <c r="O6" s="44"/>
      <c r="P6" s="17"/>
      <c r="Q6" s="17"/>
      <c r="R6" s="17">
        <v>3910143</v>
      </c>
      <c r="S6" s="17">
        <v>90540</v>
      </c>
      <c r="T6" s="26">
        <v>2.3155163378935247E-2</v>
      </c>
      <c r="U6" s="17">
        <v>166272</v>
      </c>
      <c r="V6" s="26">
        <v>4.2523252985888237E-2</v>
      </c>
      <c r="W6" s="44"/>
      <c r="X6" s="17">
        <v>0</v>
      </c>
      <c r="Y6" s="17"/>
      <c r="Z6" s="17">
        <v>5427952</v>
      </c>
      <c r="AA6" s="17">
        <v>99546</v>
      </c>
      <c r="AB6" s="26">
        <v>1.8339513687667099E-2</v>
      </c>
      <c r="AC6" s="17">
        <v>307597</v>
      </c>
      <c r="AD6" s="26">
        <v>5.6669071502474598E-2</v>
      </c>
      <c r="AE6" s="44"/>
      <c r="AF6" s="17"/>
      <c r="AG6" s="17"/>
      <c r="AH6" s="17">
        <v>5808806.6300000018</v>
      </c>
      <c r="AI6" s="17">
        <v>140006</v>
      </c>
      <c r="AJ6" s="26">
        <v>2.4102368854375163E-2</v>
      </c>
      <c r="AK6" s="17">
        <v>250159</v>
      </c>
      <c r="AL6" s="26">
        <v>4.3065472124349219E-2</v>
      </c>
      <c r="AM6" s="44"/>
      <c r="AN6" s="17">
        <v>0</v>
      </c>
      <c r="AO6" s="17"/>
      <c r="AP6" s="102">
        <v>5740361.8300000001</v>
      </c>
      <c r="AQ6" s="102">
        <v>110525</v>
      </c>
      <c r="AR6" s="103">
        <f>AQ6/AP6</f>
        <v>1.9254012773616398E-2</v>
      </c>
      <c r="AS6" s="102">
        <v>153631</v>
      </c>
      <c r="AT6" s="103">
        <f>AS6/AP6</f>
        <v>2.6763295511635022E-2</v>
      </c>
      <c r="AU6" s="100"/>
      <c r="AV6" s="102"/>
      <c r="AW6" s="159" t="str">
        <f t="shared" ref="AW6:AW51" si="0">IF(AX6=A6,"OK","No")</f>
        <v>No</v>
      </c>
      <c r="AX6" t="s">
        <v>368</v>
      </c>
      <c r="AZ6">
        <v>0</v>
      </c>
    </row>
    <row r="7" spans="1:52" x14ac:dyDescent="0.25">
      <c r="A7" s="16" t="s">
        <v>25</v>
      </c>
      <c r="B7" s="17">
        <v>20753454</v>
      </c>
      <c r="C7" s="17">
        <v>1609224</v>
      </c>
      <c r="D7" s="26">
        <v>7.7540056705741614E-2</v>
      </c>
      <c r="E7" s="17">
        <v>154873.70000000001</v>
      </c>
      <c r="F7" s="26">
        <v>7.4625505711001169E-3</v>
      </c>
      <c r="G7" s="44">
        <v>6</v>
      </c>
      <c r="H7" s="17">
        <v>73314</v>
      </c>
      <c r="I7" s="17"/>
      <c r="J7" s="17">
        <v>23146498</v>
      </c>
      <c r="K7" s="17">
        <v>2919762</v>
      </c>
      <c r="L7" s="26">
        <v>0.12614271065972918</v>
      </c>
      <c r="M7" s="17">
        <v>249622</v>
      </c>
      <c r="N7" s="26">
        <v>1.0784439183845435E-2</v>
      </c>
      <c r="O7" s="44">
        <v>4</v>
      </c>
      <c r="P7" s="17">
        <v>37910</v>
      </c>
      <c r="Q7" s="17"/>
      <c r="R7" s="17">
        <v>24799202</v>
      </c>
      <c r="S7" s="17">
        <v>3363081</v>
      </c>
      <c r="T7" s="26">
        <v>0.13561246849797828</v>
      </c>
      <c r="U7" s="17">
        <v>216926</v>
      </c>
      <c r="V7" s="26">
        <v>8.7472975944951781E-3</v>
      </c>
      <c r="W7" s="44">
        <v>5</v>
      </c>
      <c r="X7" s="17">
        <v>45956</v>
      </c>
      <c r="Y7" s="17"/>
      <c r="Z7" s="17">
        <v>26549348</v>
      </c>
      <c r="AA7" s="17">
        <v>1809314</v>
      </c>
      <c r="AB7" s="26">
        <v>6.8149093529528484E-2</v>
      </c>
      <c r="AC7" s="17">
        <v>211453</v>
      </c>
      <c r="AD7" s="26">
        <v>7.9645270384794391E-3</v>
      </c>
      <c r="AE7" s="44">
        <v>2</v>
      </c>
      <c r="AF7" s="17">
        <v>18458</v>
      </c>
      <c r="AG7" s="17"/>
      <c r="AH7" s="17">
        <v>27095392.410000373</v>
      </c>
      <c r="AI7" s="17">
        <v>2029100</v>
      </c>
      <c r="AJ7" s="26">
        <v>7.4887271211879533E-2</v>
      </c>
      <c r="AK7" s="17">
        <v>656587</v>
      </c>
      <c r="AL7" s="26">
        <v>2.4232422622440662E-2</v>
      </c>
      <c r="AM7" s="44">
        <v>2</v>
      </c>
      <c r="AN7" s="17">
        <v>5446</v>
      </c>
      <c r="AO7" s="17"/>
      <c r="AP7" s="102">
        <v>27781942.57000035</v>
      </c>
      <c r="AQ7" s="102">
        <v>2051481.3699999964</v>
      </c>
      <c r="AR7" s="103">
        <f>AQ7/AP7</f>
        <v>7.3842257964179883E-2</v>
      </c>
      <c r="AS7" s="102">
        <v>340114.43999999959</v>
      </c>
      <c r="AT7" s="103">
        <f>AS7/AP7</f>
        <v>1.2242284323460658E-2</v>
      </c>
      <c r="AU7" s="100">
        <v>4</v>
      </c>
      <c r="AV7" s="102">
        <v>36852.79</v>
      </c>
      <c r="AW7" s="159" t="str">
        <f t="shared" si="0"/>
        <v>OK</v>
      </c>
      <c r="AX7" t="s">
        <v>25</v>
      </c>
      <c r="AY7">
        <v>4</v>
      </c>
      <c r="AZ7">
        <v>36852.79</v>
      </c>
    </row>
    <row r="8" spans="1:52" x14ac:dyDescent="0.25">
      <c r="A8" s="16" t="s">
        <v>384</v>
      </c>
      <c r="B8" s="17"/>
      <c r="C8" s="17"/>
      <c r="D8" s="26"/>
      <c r="E8" s="17"/>
      <c r="F8" s="26"/>
      <c r="G8" s="44"/>
      <c r="H8" s="17"/>
      <c r="I8" s="17"/>
      <c r="J8" s="17"/>
      <c r="K8" s="17"/>
      <c r="L8" s="26"/>
      <c r="M8" s="17"/>
      <c r="N8" s="26"/>
      <c r="O8" s="44"/>
      <c r="P8" s="17"/>
      <c r="Q8" s="17"/>
      <c r="R8" s="17"/>
      <c r="S8" s="17"/>
      <c r="T8" s="26"/>
      <c r="U8" s="17"/>
      <c r="V8" s="26"/>
      <c r="W8" s="44"/>
      <c r="X8" s="17"/>
      <c r="Y8" s="17"/>
      <c r="Z8" s="17"/>
      <c r="AA8" s="17"/>
      <c r="AB8" s="26"/>
      <c r="AC8" s="17"/>
      <c r="AD8" s="26"/>
      <c r="AE8" s="44"/>
      <c r="AF8" s="17"/>
      <c r="AG8" s="17"/>
      <c r="AH8" s="17"/>
      <c r="AI8" s="17"/>
      <c r="AJ8" s="26"/>
      <c r="AK8" s="17"/>
      <c r="AL8" s="26"/>
      <c r="AM8" s="44"/>
      <c r="AN8" s="17"/>
      <c r="AO8" s="17"/>
      <c r="AP8" s="102"/>
      <c r="AQ8" s="102"/>
      <c r="AR8" s="103"/>
      <c r="AS8" s="102"/>
      <c r="AT8" s="103"/>
      <c r="AU8" s="100"/>
      <c r="AV8" s="102"/>
      <c r="AW8" s="159" t="str">
        <f t="shared" si="0"/>
        <v>OK</v>
      </c>
      <c r="AX8" t="s">
        <v>384</v>
      </c>
    </row>
    <row r="9" spans="1:52" x14ac:dyDescent="0.25">
      <c r="A9" s="16" t="s">
        <v>1</v>
      </c>
      <c r="B9" s="17">
        <v>25036392</v>
      </c>
      <c r="C9" s="17">
        <v>3799640</v>
      </c>
      <c r="D9" s="26">
        <v>0.15176467919179409</v>
      </c>
      <c r="E9" s="17">
        <v>3671233.15</v>
      </c>
      <c r="F9" s="26">
        <v>0.14663587109516418</v>
      </c>
      <c r="G9" s="44">
        <v>66</v>
      </c>
      <c r="H9" s="17">
        <v>301513</v>
      </c>
      <c r="I9" s="17"/>
      <c r="J9" s="17">
        <v>28030914</v>
      </c>
      <c r="K9" s="17">
        <v>3840171</v>
      </c>
      <c r="L9" s="26">
        <v>0.13699770902939518</v>
      </c>
      <c r="M9" s="17">
        <v>4902303</v>
      </c>
      <c r="N9" s="26">
        <v>0.1748891598754147</v>
      </c>
      <c r="O9" s="44">
        <v>82</v>
      </c>
      <c r="P9" s="17">
        <v>316333</v>
      </c>
      <c r="Q9" s="17"/>
      <c r="R9" s="17">
        <v>26169547</v>
      </c>
      <c r="S9" s="17">
        <v>3401279</v>
      </c>
      <c r="T9" s="26">
        <v>0.12997087798271786</v>
      </c>
      <c r="U9" s="17">
        <v>4361292</v>
      </c>
      <c r="V9" s="26">
        <v>0.16665523480402622</v>
      </c>
      <c r="W9" s="44">
        <v>79</v>
      </c>
      <c r="X9" s="17">
        <v>306655</v>
      </c>
      <c r="Y9" s="17"/>
      <c r="Z9" s="17">
        <v>28968171</v>
      </c>
      <c r="AA9" s="17">
        <v>3604926</v>
      </c>
      <c r="AB9" s="26">
        <v>0.12444437724425197</v>
      </c>
      <c r="AC9" s="17">
        <v>5836361</v>
      </c>
      <c r="AD9" s="26">
        <v>0.20147495677238303</v>
      </c>
      <c r="AE9" s="44">
        <v>51</v>
      </c>
      <c r="AF9" s="17">
        <v>340084</v>
      </c>
      <c r="AG9" s="17"/>
      <c r="AH9" s="17">
        <v>28100797.18000124</v>
      </c>
      <c r="AI9" s="17">
        <v>4072405</v>
      </c>
      <c r="AJ9" s="26">
        <v>0.14492133350929443</v>
      </c>
      <c r="AK9" s="17">
        <v>5941856</v>
      </c>
      <c r="AL9" s="26">
        <v>0.21144795152746401</v>
      </c>
      <c r="AM9" s="44">
        <v>63</v>
      </c>
      <c r="AN9" s="17">
        <v>435804</v>
      </c>
      <c r="AO9" s="17"/>
      <c r="AP9" s="102">
        <v>29042671.250001416</v>
      </c>
      <c r="AQ9" s="102">
        <v>4249605.5599999847</v>
      </c>
      <c r="AR9" s="103">
        <f>AQ9/AP9</f>
        <v>0.14632282008149569</v>
      </c>
      <c r="AS9" s="102">
        <v>6000034.8399999877</v>
      </c>
      <c r="AT9" s="103">
        <f>AS9/AP9</f>
        <v>0.20659376640499952</v>
      </c>
      <c r="AU9" s="100">
        <v>37</v>
      </c>
      <c r="AV9" s="102">
        <v>352632.01</v>
      </c>
      <c r="AW9" s="159" t="str">
        <f t="shared" si="0"/>
        <v>OK</v>
      </c>
      <c r="AX9" t="s">
        <v>1</v>
      </c>
      <c r="AY9">
        <v>37</v>
      </c>
      <c r="AZ9">
        <v>352632.01</v>
      </c>
    </row>
    <row r="10" spans="1:52" x14ac:dyDescent="0.25">
      <c r="A10" s="16" t="s">
        <v>2</v>
      </c>
      <c r="B10" s="17">
        <v>42784178</v>
      </c>
      <c r="C10" s="17">
        <v>5360613</v>
      </c>
      <c r="D10" s="26">
        <v>0.12529428519112837</v>
      </c>
      <c r="E10" s="17">
        <v>14950886</v>
      </c>
      <c r="F10" s="26">
        <v>0.34944894816022876</v>
      </c>
      <c r="G10" s="44">
        <v>233</v>
      </c>
      <c r="H10" s="17">
        <v>1149198</v>
      </c>
      <c r="I10" s="17"/>
      <c r="J10" s="17">
        <v>44973292</v>
      </c>
      <c r="K10" s="17">
        <v>5738015</v>
      </c>
      <c r="L10" s="26">
        <v>0.12758716884679022</v>
      </c>
      <c r="M10" s="17">
        <v>15005345</v>
      </c>
      <c r="N10" s="26">
        <v>0.33365013617415423</v>
      </c>
      <c r="O10" s="44">
        <v>269</v>
      </c>
      <c r="P10" s="17">
        <v>1492488</v>
      </c>
      <c r="Q10" s="17"/>
      <c r="R10" s="17">
        <v>46112742</v>
      </c>
      <c r="S10" s="17">
        <v>4655443</v>
      </c>
      <c r="T10" s="26">
        <v>0.10095784371269875</v>
      </c>
      <c r="U10" s="17">
        <v>15137318</v>
      </c>
      <c r="V10" s="26">
        <v>0.32826757515308891</v>
      </c>
      <c r="W10" s="44">
        <v>217</v>
      </c>
      <c r="X10" s="17">
        <v>1023043</v>
      </c>
      <c r="Y10" s="17"/>
      <c r="Z10" s="17">
        <v>45324785</v>
      </c>
      <c r="AA10" s="17">
        <v>4354103</v>
      </c>
      <c r="AB10" s="26">
        <v>9.6064504222138067E-2</v>
      </c>
      <c r="AC10" s="17">
        <v>16782471</v>
      </c>
      <c r="AD10" s="26">
        <v>0.37027138683614275</v>
      </c>
      <c r="AE10" s="44">
        <v>221</v>
      </c>
      <c r="AF10" s="17">
        <v>967748</v>
      </c>
      <c r="AG10" s="17"/>
      <c r="AH10" s="17">
        <v>48545717.429999642</v>
      </c>
      <c r="AI10" s="17">
        <v>5270421</v>
      </c>
      <c r="AJ10" s="26">
        <v>0.10856613680907422</v>
      </c>
      <c r="AK10" s="17">
        <v>16042334</v>
      </c>
      <c r="AL10" s="26">
        <v>0.33045827416459955</v>
      </c>
      <c r="AM10" s="44">
        <v>225</v>
      </c>
      <c r="AN10" s="17">
        <v>1052176</v>
      </c>
      <c r="AO10" s="17"/>
      <c r="AP10" s="102">
        <v>49971484.179999717</v>
      </c>
      <c r="AQ10" s="102">
        <v>3899935.5499999896</v>
      </c>
      <c r="AR10" s="103">
        <f>AQ10/AP10</f>
        <v>7.8043220328462365E-2</v>
      </c>
      <c r="AS10" s="102">
        <v>15544885.649999961</v>
      </c>
      <c r="AT10" s="103">
        <f>AS10/AP10</f>
        <v>0.31107512424498995</v>
      </c>
      <c r="AU10" s="100">
        <v>147</v>
      </c>
      <c r="AV10" s="102">
        <v>1109002.4200000009</v>
      </c>
      <c r="AW10" s="159" t="str">
        <f t="shared" si="0"/>
        <v>OK</v>
      </c>
      <c r="AX10" t="s">
        <v>2</v>
      </c>
      <c r="AY10">
        <v>147</v>
      </c>
      <c r="AZ10">
        <v>1109002.4200000009</v>
      </c>
    </row>
    <row r="11" spans="1:52" x14ac:dyDescent="0.25">
      <c r="A11" s="16" t="s">
        <v>3</v>
      </c>
      <c r="B11" s="17">
        <v>4790828</v>
      </c>
      <c r="C11" s="17">
        <v>231379</v>
      </c>
      <c r="D11" s="26">
        <v>4.8296244407021086E-2</v>
      </c>
      <c r="E11" s="17">
        <v>1783540.96</v>
      </c>
      <c r="F11" s="26">
        <v>0.37228240295831949</v>
      </c>
      <c r="G11" s="44">
        <v>13</v>
      </c>
      <c r="H11" s="17">
        <v>104387</v>
      </c>
      <c r="I11" s="17"/>
      <c r="J11" s="17">
        <v>3758875</v>
      </c>
      <c r="K11" s="17">
        <v>173718</v>
      </c>
      <c r="L11" s="26">
        <v>4.6215423497722057E-2</v>
      </c>
      <c r="M11" s="17">
        <v>1558453</v>
      </c>
      <c r="N11" s="26">
        <v>0.41460623191779455</v>
      </c>
      <c r="O11" s="44">
        <v>13</v>
      </c>
      <c r="P11" s="17">
        <v>108735</v>
      </c>
      <c r="Q11" s="17"/>
      <c r="R11" s="17">
        <v>3329004</v>
      </c>
      <c r="S11" s="17">
        <v>345975</v>
      </c>
      <c r="T11" s="26">
        <v>0.10392748101233883</v>
      </c>
      <c r="U11" s="17">
        <v>1108517</v>
      </c>
      <c r="V11" s="26">
        <v>0.33298758427445568</v>
      </c>
      <c r="W11" s="44">
        <v>13</v>
      </c>
      <c r="X11" s="17">
        <v>160986</v>
      </c>
      <c r="Y11" s="17"/>
      <c r="Z11" s="17">
        <v>3919475</v>
      </c>
      <c r="AA11" s="17">
        <v>552865</v>
      </c>
      <c r="AB11" s="26">
        <v>0.14105588120858023</v>
      </c>
      <c r="AC11" s="17">
        <v>1074456</v>
      </c>
      <c r="AD11" s="26">
        <v>0.27413263255920756</v>
      </c>
      <c r="AE11" s="44">
        <v>19</v>
      </c>
      <c r="AF11" s="17">
        <v>102034</v>
      </c>
      <c r="AG11" s="17"/>
      <c r="AH11" s="17">
        <v>5175603.0100000128</v>
      </c>
      <c r="AI11" s="17">
        <v>286728</v>
      </c>
      <c r="AJ11" s="26">
        <v>5.5399921409350773E-2</v>
      </c>
      <c r="AK11" s="17">
        <v>1562671</v>
      </c>
      <c r="AL11" s="26">
        <v>0.3019302286092449</v>
      </c>
      <c r="AM11" s="44">
        <v>19</v>
      </c>
      <c r="AN11" s="17">
        <v>97747</v>
      </c>
      <c r="AO11" s="17"/>
      <c r="AP11" s="102">
        <v>4532876.4000000013</v>
      </c>
      <c r="AQ11" s="102">
        <v>446926.04000000004</v>
      </c>
      <c r="AR11" s="103">
        <f>AQ11/AP11</f>
        <v>9.8596564424302396E-2</v>
      </c>
      <c r="AS11" s="102">
        <v>1394600.63</v>
      </c>
      <c r="AT11" s="103">
        <f>AS11/AP11</f>
        <v>0.30766350258303965</v>
      </c>
      <c r="AU11" s="100">
        <v>14</v>
      </c>
      <c r="AV11" s="102">
        <v>18342.39</v>
      </c>
      <c r="AW11" s="159" t="str">
        <f t="shared" si="0"/>
        <v>OK</v>
      </c>
      <c r="AX11" t="s">
        <v>3</v>
      </c>
      <c r="AY11">
        <v>14</v>
      </c>
      <c r="AZ11">
        <v>18342.39</v>
      </c>
    </row>
    <row r="12" spans="1:52" x14ac:dyDescent="0.25">
      <c r="A12" s="16" t="s">
        <v>32</v>
      </c>
      <c r="B12" s="17"/>
      <c r="C12" s="17"/>
      <c r="D12" s="26"/>
      <c r="E12" s="17"/>
      <c r="F12" s="26"/>
      <c r="G12" s="44"/>
      <c r="H12" s="17"/>
      <c r="I12" s="17"/>
      <c r="J12" s="17"/>
      <c r="K12" s="17"/>
      <c r="L12" s="26"/>
      <c r="M12" s="17"/>
      <c r="N12" s="26"/>
      <c r="O12" s="44"/>
      <c r="P12" s="17"/>
      <c r="Q12" s="17"/>
      <c r="R12" s="17"/>
      <c r="S12" s="17"/>
      <c r="T12" s="26"/>
      <c r="U12" s="17"/>
      <c r="V12" s="26"/>
      <c r="W12" s="44"/>
      <c r="X12" s="17"/>
      <c r="Y12" s="17"/>
      <c r="Z12" s="17"/>
      <c r="AA12" s="17"/>
      <c r="AB12" s="26"/>
      <c r="AC12" s="17"/>
      <c r="AD12" s="26"/>
      <c r="AE12" s="44"/>
      <c r="AF12" s="17"/>
      <c r="AG12" s="17"/>
      <c r="AH12" s="17"/>
      <c r="AI12" s="17"/>
      <c r="AJ12" s="26"/>
      <c r="AK12" s="17"/>
      <c r="AL12" s="26"/>
      <c r="AM12" s="44"/>
      <c r="AN12" s="17"/>
      <c r="AO12" s="17"/>
      <c r="AP12" s="102"/>
      <c r="AQ12" s="102"/>
      <c r="AR12" s="103"/>
      <c r="AS12" s="102"/>
      <c r="AT12" s="103"/>
      <c r="AU12" s="100"/>
      <c r="AV12" s="102"/>
      <c r="AW12" s="159" t="str">
        <f t="shared" si="0"/>
        <v>OK</v>
      </c>
      <c r="AX12" t="s">
        <v>32</v>
      </c>
    </row>
    <row r="13" spans="1:52" x14ac:dyDescent="0.25">
      <c r="A13" s="16" t="s">
        <v>22</v>
      </c>
      <c r="B13" s="17">
        <v>209537.5</v>
      </c>
      <c r="C13" s="17">
        <v>440925</v>
      </c>
      <c r="D13" s="26">
        <v>2.1042772773369922</v>
      </c>
      <c r="E13" s="17">
        <v>43250</v>
      </c>
      <c r="F13" s="26">
        <v>0.2064069677265406</v>
      </c>
      <c r="G13" s="44">
        <v>35</v>
      </c>
      <c r="H13" s="17">
        <v>137975</v>
      </c>
      <c r="I13" s="17"/>
      <c r="J13" s="17">
        <v>212400</v>
      </c>
      <c r="K13" s="17">
        <v>399950</v>
      </c>
      <c r="L13" s="26">
        <v>1.8830037664783428</v>
      </c>
      <c r="M13" s="17">
        <v>1500</v>
      </c>
      <c r="N13" s="26">
        <v>7.0621468926553672E-3</v>
      </c>
      <c r="O13" s="44">
        <v>36</v>
      </c>
      <c r="P13" s="17">
        <v>140500</v>
      </c>
      <c r="Q13" s="17"/>
      <c r="R13" s="17">
        <v>156884</v>
      </c>
      <c r="S13" s="17">
        <v>161552</v>
      </c>
      <c r="T13" s="26">
        <v>1.0297544682695494</v>
      </c>
      <c r="U13" s="17">
        <v>2750</v>
      </c>
      <c r="V13" s="26">
        <v>1.7528874837459525E-2</v>
      </c>
      <c r="W13" s="44">
        <v>37</v>
      </c>
      <c r="X13" s="17">
        <v>90764</v>
      </c>
      <c r="Y13" s="17"/>
      <c r="Z13" s="17">
        <v>213059</v>
      </c>
      <c r="AA13" s="17">
        <v>147924</v>
      </c>
      <c r="AB13" s="26">
        <v>0.69428655912212112</v>
      </c>
      <c r="AC13" s="17">
        <v>1500</v>
      </c>
      <c r="AD13" s="26">
        <v>7.0403033901407595E-3</v>
      </c>
      <c r="AE13" s="44">
        <v>57</v>
      </c>
      <c r="AF13" s="17">
        <v>142559</v>
      </c>
      <c r="AG13" s="17"/>
      <c r="AH13" s="17">
        <v>213961.26</v>
      </c>
      <c r="AI13" s="17">
        <v>42678</v>
      </c>
      <c r="AJ13" s="26">
        <v>0.19946601548336365</v>
      </c>
      <c r="AK13" s="17">
        <v>4500</v>
      </c>
      <c r="AL13" s="26">
        <v>2.1031844736752812E-2</v>
      </c>
      <c r="AM13" s="44">
        <v>61</v>
      </c>
      <c r="AN13" s="17">
        <v>152640</v>
      </c>
      <c r="AO13" s="17"/>
      <c r="AP13" s="102">
        <v>103417.99</v>
      </c>
      <c r="AQ13" s="102">
        <v>75822.880000000005</v>
      </c>
      <c r="AR13" s="103">
        <f>AQ13/AP13</f>
        <v>0.73316915171141883</v>
      </c>
      <c r="AS13" s="102">
        <v>4350</v>
      </c>
      <c r="AT13" s="103">
        <f>AS13/AP13</f>
        <v>4.206231430334316E-2</v>
      </c>
      <c r="AU13" s="100">
        <v>52</v>
      </c>
      <c r="AV13" s="102">
        <v>78667.990000000005</v>
      </c>
      <c r="AW13" s="159" t="str">
        <f t="shared" si="0"/>
        <v>No</v>
      </c>
      <c r="AX13" t="s">
        <v>366</v>
      </c>
      <c r="AY13">
        <v>52</v>
      </c>
      <c r="AZ13">
        <v>78667.990000000005</v>
      </c>
    </row>
    <row r="14" spans="1:52" x14ac:dyDescent="0.25">
      <c r="A14" s="16" t="s">
        <v>4</v>
      </c>
      <c r="B14" s="17">
        <v>2648324.38</v>
      </c>
      <c r="C14" s="17">
        <v>344103</v>
      </c>
      <c r="D14" s="26">
        <v>0.12993234612747853</v>
      </c>
      <c r="E14" s="17">
        <v>908705.22</v>
      </c>
      <c r="F14" s="26">
        <v>0.34312459110465915</v>
      </c>
      <c r="G14" s="44">
        <v>59</v>
      </c>
      <c r="H14" s="17">
        <v>1205595</v>
      </c>
      <c r="I14" s="17"/>
      <c r="J14" s="17">
        <v>2091802</v>
      </c>
      <c r="K14" s="17">
        <v>282873</v>
      </c>
      <c r="L14" s="26">
        <v>0.13522933814959542</v>
      </c>
      <c r="M14" s="17">
        <v>667575</v>
      </c>
      <c r="N14" s="26">
        <v>0.31913871389357118</v>
      </c>
      <c r="O14" s="44">
        <v>54</v>
      </c>
      <c r="P14" s="17">
        <v>1165672</v>
      </c>
      <c r="Q14" s="17"/>
      <c r="R14" s="17">
        <v>2015847</v>
      </c>
      <c r="S14" s="17">
        <v>254604</v>
      </c>
      <c r="T14" s="26">
        <v>0.1263012520295439</v>
      </c>
      <c r="U14" s="17">
        <v>488808</v>
      </c>
      <c r="V14" s="26">
        <v>0.24248268841831747</v>
      </c>
      <c r="W14" s="44">
        <v>42</v>
      </c>
      <c r="X14" s="17">
        <v>1261678</v>
      </c>
      <c r="Y14" s="17"/>
      <c r="Z14" s="17">
        <v>2116944</v>
      </c>
      <c r="AA14" s="17">
        <v>369501</v>
      </c>
      <c r="AB14" s="26">
        <v>0.1745445321179965</v>
      </c>
      <c r="AC14" s="17">
        <v>516844</v>
      </c>
      <c r="AD14" s="26">
        <v>0.24414627878677944</v>
      </c>
      <c r="AE14" s="44">
        <v>67</v>
      </c>
      <c r="AF14" s="17">
        <v>1389143</v>
      </c>
      <c r="AG14" s="17"/>
      <c r="AH14" s="17">
        <v>2048074.9800000004</v>
      </c>
      <c r="AI14" s="17">
        <v>390896</v>
      </c>
      <c r="AJ14" s="26">
        <v>0.19086019985459707</v>
      </c>
      <c r="AK14" s="17">
        <v>545746</v>
      </c>
      <c r="AL14" s="26">
        <v>0.26646778332304993</v>
      </c>
      <c r="AM14" s="44">
        <v>35</v>
      </c>
      <c r="AN14" s="17">
        <v>1261634</v>
      </c>
      <c r="AO14" s="17"/>
      <c r="AP14" s="102">
        <v>2216718.84</v>
      </c>
      <c r="AQ14" s="102">
        <v>830223.19000000006</v>
      </c>
      <c r="AR14" s="103">
        <f>AQ14/AP14</f>
        <v>0.37452796223809787</v>
      </c>
      <c r="AS14" s="102">
        <v>713673.86999999988</v>
      </c>
      <c r="AT14" s="103">
        <f>AS14/AP14</f>
        <v>0.32195055914262899</v>
      </c>
      <c r="AU14" s="100">
        <v>31</v>
      </c>
      <c r="AV14" s="102">
        <v>1158635.4400000002</v>
      </c>
      <c r="AW14" s="159" t="str">
        <f t="shared" si="0"/>
        <v>OK</v>
      </c>
      <c r="AX14" t="s">
        <v>4</v>
      </c>
      <c r="AY14">
        <v>31</v>
      </c>
      <c r="AZ14">
        <v>1158635.4400000002</v>
      </c>
    </row>
    <row r="15" spans="1:52" x14ac:dyDescent="0.25">
      <c r="A15" s="16" t="s">
        <v>27</v>
      </c>
      <c r="B15" s="17"/>
      <c r="C15" s="17"/>
      <c r="D15" s="26"/>
      <c r="E15" s="17"/>
      <c r="F15" s="26"/>
      <c r="G15" s="44"/>
      <c r="H15" s="17"/>
      <c r="I15" s="17"/>
      <c r="J15" s="17"/>
      <c r="K15" s="17"/>
      <c r="L15" s="26"/>
      <c r="M15" s="17"/>
      <c r="N15" s="26"/>
      <c r="O15" s="44"/>
      <c r="P15" s="17"/>
      <c r="Q15" s="17"/>
      <c r="R15" s="17"/>
      <c r="S15" s="17"/>
      <c r="T15" s="26"/>
      <c r="U15" s="17"/>
      <c r="V15" s="26"/>
      <c r="W15" s="44"/>
      <c r="X15" s="17"/>
      <c r="Y15" s="17"/>
      <c r="Z15" s="17"/>
      <c r="AA15" s="17"/>
      <c r="AB15" s="26"/>
      <c r="AC15" s="17"/>
      <c r="AD15" s="26"/>
      <c r="AE15" s="44"/>
      <c r="AF15" s="17"/>
      <c r="AG15" s="17"/>
      <c r="AH15" s="17"/>
      <c r="AI15" s="17"/>
      <c r="AJ15" s="26"/>
      <c r="AK15" s="17"/>
      <c r="AL15" s="26"/>
      <c r="AM15" s="44"/>
      <c r="AN15" s="17"/>
      <c r="AO15" s="17"/>
      <c r="AP15" s="102"/>
      <c r="AQ15" s="102"/>
      <c r="AR15" s="103"/>
      <c r="AS15" s="102"/>
      <c r="AT15" s="103"/>
      <c r="AU15" s="100"/>
      <c r="AV15" s="102"/>
      <c r="AW15" s="159" t="str">
        <f t="shared" si="0"/>
        <v>OK</v>
      </c>
      <c r="AX15" t="s">
        <v>27</v>
      </c>
    </row>
    <row r="16" spans="1:52" x14ac:dyDescent="0.25">
      <c r="A16" s="16" t="s">
        <v>28</v>
      </c>
      <c r="B16" s="17"/>
      <c r="C16" s="17"/>
      <c r="D16" s="26"/>
      <c r="E16" s="17"/>
      <c r="F16" s="26"/>
      <c r="G16" s="44"/>
      <c r="H16" s="17"/>
      <c r="I16" s="17"/>
      <c r="J16" s="17"/>
      <c r="K16" s="17"/>
      <c r="L16" s="26"/>
      <c r="M16" s="17"/>
      <c r="N16" s="26"/>
      <c r="O16" s="44"/>
      <c r="P16" s="17"/>
      <c r="Q16" s="17"/>
      <c r="R16" s="17"/>
      <c r="S16" s="17"/>
      <c r="T16" s="26"/>
      <c r="U16" s="17"/>
      <c r="V16" s="26"/>
      <c r="W16" s="44"/>
      <c r="X16" s="17"/>
      <c r="Y16" s="17"/>
      <c r="Z16" s="17"/>
      <c r="AA16" s="17"/>
      <c r="AB16" s="26"/>
      <c r="AC16" s="17"/>
      <c r="AD16" s="26"/>
      <c r="AE16" s="44"/>
      <c r="AF16" s="17"/>
      <c r="AG16" s="17"/>
      <c r="AH16" s="17"/>
      <c r="AI16" s="17"/>
      <c r="AJ16" s="26"/>
      <c r="AK16" s="17"/>
      <c r="AL16" s="26"/>
      <c r="AM16" s="44"/>
      <c r="AN16" s="17"/>
      <c r="AO16" s="17"/>
      <c r="AP16" s="102"/>
      <c r="AQ16" s="102"/>
      <c r="AR16" s="103"/>
      <c r="AS16" s="102"/>
      <c r="AT16" s="103"/>
      <c r="AU16" s="100"/>
      <c r="AV16" s="102"/>
      <c r="AW16" s="159" t="str">
        <f t="shared" si="0"/>
        <v>OK</v>
      </c>
      <c r="AX16" t="s">
        <v>28</v>
      </c>
    </row>
    <row r="17" spans="1:52" x14ac:dyDescent="0.25">
      <c r="A17" s="16" t="s">
        <v>5</v>
      </c>
      <c r="B17" s="17">
        <v>3141460</v>
      </c>
      <c r="C17" s="17">
        <v>147564</v>
      </c>
      <c r="D17" s="26">
        <v>4.6973063480037942E-2</v>
      </c>
      <c r="E17" s="17">
        <v>178444.76</v>
      </c>
      <c r="F17" s="26">
        <v>5.6803129754954704E-2</v>
      </c>
      <c r="G17" s="44">
        <v>20</v>
      </c>
      <c r="H17" s="17">
        <v>19984</v>
      </c>
      <c r="I17" s="17"/>
      <c r="J17" s="17">
        <v>3665706</v>
      </c>
      <c r="K17" s="17">
        <v>514115</v>
      </c>
      <c r="L17" s="26">
        <v>0.14024992729913419</v>
      </c>
      <c r="M17" s="17">
        <v>197062</v>
      </c>
      <c r="N17" s="26">
        <v>5.3758266484000623E-2</v>
      </c>
      <c r="O17" s="44">
        <v>18</v>
      </c>
      <c r="P17" s="17">
        <v>18129</v>
      </c>
      <c r="Q17" s="17"/>
      <c r="R17" s="17">
        <v>2687243</v>
      </c>
      <c r="S17" s="17">
        <v>93546</v>
      </c>
      <c r="T17" s="26">
        <v>3.4811142870220517E-2</v>
      </c>
      <c r="U17" s="17">
        <v>279077</v>
      </c>
      <c r="V17" s="26">
        <v>0.10385253585180053</v>
      </c>
      <c r="W17" s="44">
        <v>18</v>
      </c>
      <c r="X17" s="17">
        <v>18161</v>
      </c>
      <c r="Y17" s="17"/>
      <c r="Z17" s="17">
        <v>3404683</v>
      </c>
      <c r="AA17" s="17">
        <v>536315</v>
      </c>
      <c r="AB17" s="26">
        <v>0.15752274147108555</v>
      </c>
      <c r="AC17" s="17">
        <v>374786</v>
      </c>
      <c r="AD17" s="26">
        <v>0.11007955806752052</v>
      </c>
      <c r="AE17" s="44">
        <v>20</v>
      </c>
      <c r="AF17" s="17">
        <v>20468</v>
      </c>
      <c r="AG17" s="17"/>
      <c r="AH17" s="17">
        <v>3039217.8099999973</v>
      </c>
      <c r="AI17" s="17">
        <v>179503</v>
      </c>
      <c r="AJ17" s="26">
        <v>5.9062236148188459E-2</v>
      </c>
      <c r="AK17" s="17">
        <v>388861</v>
      </c>
      <c r="AL17" s="26">
        <v>0.12794772349665862</v>
      </c>
      <c r="AM17" s="44">
        <v>24</v>
      </c>
      <c r="AN17" s="17">
        <v>36000</v>
      </c>
      <c r="AO17" s="17"/>
      <c r="AP17" s="102">
        <v>3398075.629999998</v>
      </c>
      <c r="AQ17" s="102">
        <v>316901.11000000004</v>
      </c>
      <c r="AR17" s="103">
        <f>AQ17/AP17</f>
        <v>9.325899259046222E-2</v>
      </c>
      <c r="AS17" s="102">
        <v>372199.13</v>
      </c>
      <c r="AT17" s="103">
        <f>AS17/AP17</f>
        <v>0.10953232668338234</v>
      </c>
      <c r="AU17" s="100">
        <v>24</v>
      </c>
      <c r="AV17" s="102">
        <v>36000</v>
      </c>
      <c r="AW17" s="159" t="str">
        <f t="shared" si="0"/>
        <v>OK</v>
      </c>
      <c r="AX17" t="s">
        <v>5</v>
      </c>
      <c r="AY17">
        <v>24</v>
      </c>
      <c r="AZ17">
        <v>36000</v>
      </c>
    </row>
    <row r="18" spans="1:52" x14ac:dyDescent="0.25">
      <c r="A18" s="16" t="s">
        <v>21</v>
      </c>
      <c r="B18" s="17"/>
      <c r="C18" s="17"/>
      <c r="D18" s="26"/>
      <c r="E18" s="17"/>
      <c r="F18" s="26"/>
      <c r="G18" s="44"/>
      <c r="H18" s="17"/>
      <c r="I18" s="17"/>
      <c r="J18" s="17"/>
      <c r="K18" s="17"/>
      <c r="L18" s="26"/>
      <c r="M18" s="17"/>
      <c r="N18" s="26"/>
      <c r="O18" s="44"/>
      <c r="P18" s="17"/>
      <c r="Q18" s="17"/>
      <c r="R18" s="17">
        <v>877</v>
      </c>
      <c r="S18" s="17">
        <v>376</v>
      </c>
      <c r="T18" s="26">
        <v>0.42873432155074115</v>
      </c>
      <c r="U18" s="17">
        <v>877</v>
      </c>
      <c r="V18" s="26">
        <v>1</v>
      </c>
      <c r="W18" s="44">
        <v>1</v>
      </c>
      <c r="X18" s="17">
        <v>1754</v>
      </c>
      <c r="Y18" s="17"/>
      <c r="Z18" s="17">
        <v>24170</v>
      </c>
      <c r="AA18" s="17"/>
      <c r="AB18" s="26"/>
      <c r="AC18" s="17"/>
      <c r="AD18" s="26">
        <v>0</v>
      </c>
      <c r="AE18" s="44">
        <v>2</v>
      </c>
      <c r="AF18" s="17">
        <v>24170</v>
      </c>
      <c r="AG18" s="17"/>
      <c r="AH18" s="17">
        <v>5270.75</v>
      </c>
      <c r="AI18" s="17"/>
      <c r="AJ18" s="26"/>
      <c r="AK18" s="17">
        <v>5271</v>
      </c>
      <c r="AL18" s="26">
        <v>1.0000474315799459</v>
      </c>
      <c r="AM18" s="44"/>
      <c r="AN18" s="17"/>
      <c r="AO18" s="17"/>
      <c r="AP18" s="102"/>
      <c r="AQ18" s="102"/>
      <c r="AR18" s="103"/>
      <c r="AS18" s="102"/>
      <c r="AT18" s="103"/>
      <c r="AU18" s="100"/>
      <c r="AV18" s="102"/>
      <c r="AW18" s="159" t="str">
        <f t="shared" si="0"/>
        <v>OK</v>
      </c>
      <c r="AX18" t="s">
        <v>21</v>
      </c>
    </row>
    <row r="19" spans="1:52" x14ac:dyDescent="0.25">
      <c r="A19" s="16" t="s">
        <v>7</v>
      </c>
      <c r="B19" s="17">
        <v>1098589</v>
      </c>
      <c r="C19" s="17">
        <v>115512</v>
      </c>
      <c r="D19" s="26">
        <v>0.10514578245367467</v>
      </c>
      <c r="E19" s="17">
        <v>491277</v>
      </c>
      <c r="F19" s="26">
        <v>0.44718907616952291</v>
      </c>
      <c r="G19" s="44">
        <v>55</v>
      </c>
      <c r="H19" s="17">
        <v>33318</v>
      </c>
      <c r="I19" s="17"/>
      <c r="J19" s="17">
        <v>1112171</v>
      </c>
      <c r="K19" s="17">
        <v>446403</v>
      </c>
      <c r="L19" s="26">
        <v>0.40137982378609044</v>
      </c>
      <c r="M19" s="17">
        <v>525022</v>
      </c>
      <c r="N19" s="26">
        <v>0.47206949291071248</v>
      </c>
      <c r="O19" s="44">
        <v>32</v>
      </c>
      <c r="P19" s="17">
        <v>21686</v>
      </c>
      <c r="Q19" s="17"/>
      <c r="R19" s="17">
        <v>991243</v>
      </c>
      <c r="S19" s="17">
        <v>262082</v>
      </c>
      <c r="T19" s="26">
        <v>0.26439732739600685</v>
      </c>
      <c r="U19" s="17">
        <v>498246</v>
      </c>
      <c r="V19" s="26">
        <v>0.5026476857844141</v>
      </c>
      <c r="W19" s="44">
        <v>50</v>
      </c>
      <c r="X19" s="17">
        <v>45831</v>
      </c>
      <c r="Y19" s="17"/>
      <c r="Z19" s="17">
        <v>1089779</v>
      </c>
      <c r="AA19" s="17">
        <v>183341</v>
      </c>
      <c r="AB19" s="26">
        <v>0.16823686270335544</v>
      </c>
      <c r="AC19" s="17">
        <v>531701</v>
      </c>
      <c r="AD19" s="26">
        <v>0.4878980050083549</v>
      </c>
      <c r="AE19" s="44">
        <v>36</v>
      </c>
      <c r="AF19" s="17">
        <v>64223</v>
      </c>
      <c r="AG19" s="17"/>
      <c r="AH19" s="17">
        <v>1128253.5199999982</v>
      </c>
      <c r="AI19" s="17">
        <v>313342</v>
      </c>
      <c r="AJ19" s="26">
        <v>0.27772304224674654</v>
      </c>
      <c r="AK19" s="17">
        <v>553978</v>
      </c>
      <c r="AL19" s="26">
        <v>0.49100489400644715</v>
      </c>
      <c r="AM19" s="44">
        <v>45</v>
      </c>
      <c r="AN19" s="17">
        <v>121383</v>
      </c>
      <c r="AO19" s="17"/>
      <c r="AP19" s="102">
        <v>1047499.1699999988</v>
      </c>
      <c r="AQ19" s="102">
        <v>100658.14</v>
      </c>
      <c r="AR19" s="103">
        <f>AQ19/AP19</f>
        <v>9.6093765878592641E-2</v>
      </c>
      <c r="AS19" s="102">
        <v>522812</v>
      </c>
      <c r="AT19" s="103">
        <f>AS19/AP19</f>
        <v>0.49910493007837003</v>
      </c>
      <c r="AU19" s="100">
        <v>17</v>
      </c>
      <c r="AV19" s="102">
        <v>47000</v>
      </c>
      <c r="AW19" s="159" t="str">
        <f t="shared" si="0"/>
        <v>OK</v>
      </c>
      <c r="AX19" t="s">
        <v>7</v>
      </c>
      <c r="AY19">
        <v>17</v>
      </c>
      <c r="AZ19">
        <v>47000</v>
      </c>
    </row>
    <row r="20" spans="1:52" x14ac:dyDescent="0.25">
      <c r="A20" s="16" t="s">
        <v>6</v>
      </c>
      <c r="B20" s="17"/>
      <c r="C20" s="17"/>
      <c r="D20" s="26"/>
      <c r="E20" s="17"/>
      <c r="F20" s="26"/>
      <c r="G20" s="44"/>
      <c r="H20" s="17"/>
      <c r="I20" s="17"/>
      <c r="J20" s="17"/>
      <c r="K20" s="17"/>
      <c r="L20" s="26"/>
      <c r="M20" s="17"/>
      <c r="N20" s="26"/>
      <c r="O20" s="44"/>
      <c r="P20" s="17"/>
      <c r="Q20" s="17"/>
      <c r="R20" s="17"/>
      <c r="S20" s="17"/>
      <c r="T20" s="26"/>
      <c r="U20" s="17"/>
      <c r="V20" s="26"/>
      <c r="W20" s="44"/>
      <c r="X20" s="17"/>
      <c r="Y20" s="17"/>
      <c r="Z20" s="17"/>
      <c r="AA20" s="17"/>
      <c r="AB20" s="26"/>
      <c r="AC20" s="17"/>
      <c r="AD20" s="26"/>
      <c r="AE20" s="44"/>
      <c r="AF20" s="17"/>
      <c r="AG20" s="17"/>
      <c r="AH20" s="17"/>
      <c r="AI20" s="17"/>
      <c r="AJ20" s="26"/>
      <c r="AK20" s="17"/>
      <c r="AL20" s="26"/>
      <c r="AM20" s="44"/>
      <c r="AN20" s="17"/>
      <c r="AO20" s="17"/>
      <c r="AP20" s="102"/>
      <c r="AQ20" s="102"/>
      <c r="AR20" s="103"/>
      <c r="AS20" s="102"/>
      <c r="AT20" s="103"/>
      <c r="AU20" s="100"/>
      <c r="AV20" s="102"/>
      <c r="AW20" s="159" t="str">
        <f t="shared" si="0"/>
        <v>No</v>
      </c>
      <c r="AX20" t="s">
        <v>365</v>
      </c>
    </row>
    <row r="21" spans="1:52" x14ac:dyDescent="0.25">
      <c r="A21" s="16" t="s">
        <v>29</v>
      </c>
      <c r="B21" s="17"/>
      <c r="C21" s="17"/>
      <c r="D21" s="26"/>
      <c r="E21" s="17"/>
      <c r="F21" s="26"/>
      <c r="G21" s="44"/>
      <c r="H21" s="17"/>
      <c r="I21" s="17"/>
      <c r="J21" s="17"/>
      <c r="K21" s="17"/>
      <c r="L21" s="26"/>
      <c r="M21" s="17"/>
      <c r="N21" s="26"/>
      <c r="O21" s="44"/>
      <c r="P21" s="17"/>
      <c r="Q21" s="17"/>
      <c r="R21" s="17"/>
      <c r="S21" s="17"/>
      <c r="T21" s="26"/>
      <c r="U21" s="17"/>
      <c r="V21" s="26"/>
      <c r="W21" s="44"/>
      <c r="X21" s="17"/>
      <c r="Y21" s="17"/>
      <c r="Z21" s="17"/>
      <c r="AA21" s="17"/>
      <c r="AB21" s="26"/>
      <c r="AC21" s="17"/>
      <c r="AD21" s="26"/>
      <c r="AE21" s="44"/>
      <c r="AF21" s="17"/>
      <c r="AG21" s="17"/>
      <c r="AH21" s="17"/>
      <c r="AI21" s="17"/>
      <c r="AJ21" s="26"/>
      <c r="AK21" s="17"/>
      <c r="AL21" s="26"/>
      <c r="AM21" s="44"/>
      <c r="AN21" s="17"/>
      <c r="AO21" s="17"/>
      <c r="AP21" s="102"/>
      <c r="AQ21" s="102"/>
      <c r="AR21" s="103"/>
      <c r="AS21" s="102"/>
      <c r="AT21" s="103"/>
      <c r="AU21" s="100"/>
      <c r="AV21" s="102"/>
      <c r="AW21" s="159" t="str">
        <f t="shared" si="0"/>
        <v>OK</v>
      </c>
      <c r="AX21" t="s">
        <v>29</v>
      </c>
    </row>
    <row r="22" spans="1:52" x14ac:dyDescent="0.25">
      <c r="A22" s="16" t="s">
        <v>8</v>
      </c>
      <c r="B22" s="17">
        <v>14636514</v>
      </c>
      <c r="C22" s="17">
        <v>2132160</v>
      </c>
      <c r="D22" s="26">
        <v>0.14567403139846005</v>
      </c>
      <c r="E22" s="17"/>
      <c r="F22" s="26"/>
      <c r="G22" s="44">
        <v>84</v>
      </c>
      <c r="H22" s="17">
        <v>691255</v>
      </c>
      <c r="I22" s="17"/>
      <c r="J22" s="17">
        <v>16917440</v>
      </c>
      <c r="K22" s="17">
        <v>2579434</v>
      </c>
      <c r="L22" s="26">
        <v>0.15247188699945147</v>
      </c>
      <c r="M22" s="17"/>
      <c r="N22" s="26"/>
      <c r="O22" s="44">
        <v>88</v>
      </c>
      <c r="P22" s="17">
        <v>738426</v>
      </c>
      <c r="Q22" s="17"/>
      <c r="R22" s="17">
        <v>19806934</v>
      </c>
      <c r="S22" s="17">
        <v>3831146</v>
      </c>
      <c r="T22" s="26">
        <v>0.19342448457696684</v>
      </c>
      <c r="U22" s="17"/>
      <c r="V22" s="26">
        <v>0</v>
      </c>
      <c r="W22" s="44">
        <v>72</v>
      </c>
      <c r="X22" s="17">
        <v>554232</v>
      </c>
      <c r="Y22" s="17"/>
      <c r="Z22" s="17">
        <v>23179820</v>
      </c>
      <c r="AA22" s="17">
        <v>3059073</v>
      </c>
      <c r="AB22" s="26">
        <v>0.13197138718074602</v>
      </c>
      <c r="AC22" s="17"/>
      <c r="AD22" s="26">
        <v>0</v>
      </c>
      <c r="AE22" s="44">
        <v>63</v>
      </c>
      <c r="AF22" s="17">
        <v>624087</v>
      </c>
      <c r="AG22" s="17"/>
      <c r="AH22" s="17">
        <v>26299469.100000013</v>
      </c>
      <c r="AI22" s="17">
        <v>5744055</v>
      </c>
      <c r="AJ22" s="26">
        <v>0.21840954196295914</v>
      </c>
      <c r="AK22" s="17"/>
      <c r="AL22" s="26">
        <v>0</v>
      </c>
      <c r="AM22" s="44">
        <v>62</v>
      </c>
      <c r="AN22" s="17">
        <v>649757</v>
      </c>
      <c r="AO22" s="17"/>
      <c r="AP22" s="102">
        <v>26854481.490000017</v>
      </c>
      <c r="AQ22" s="102">
        <v>1336513.5299999998</v>
      </c>
      <c r="AR22" s="103">
        <f>AQ22/AP22</f>
        <v>4.9768733404801958E-2</v>
      </c>
      <c r="AS22" s="102"/>
      <c r="AT22" s="103"/>
      <c r="AU22" s="100">
        <v>60</v>
      </c>
      <c r="AV22" s="102">
        <v>533402.39999999979</v>
      </c>
      <c r="AW22" s="159" t="str">
        <f t="shared" si="0"/>
        <v>OK</v>
      </c>
      <c r="AX22" t="s">
        <v>8</v>
      </c>
      <c r="AY22">
        <v>60</v>
      </c>
      <c r="AZ22">
        <v>533402.39999999979</v>
      </c>
    </row>
    <row r="23" spans="1:52" x14ac:dyDescent="0.25">
      <c r="A23" s="16" t="s">
        <v>9</v>
      </c>
      <c r="B23" s="17">
        <v>687738</v>
      </c>
      <c r="C23" s="17">
        <v>195913</v>
      </c>
      <c r="D23" s="26">
        <v>0.28486574829368161</v>
      </c>
      <c r="E23" s="17">
        <v>338513</v>
      </c>
      <c r="F23" s="26">
        <v>0.49221215055733436</v>
      </c>
      <c r="G23" s="44">
        <v>8</v>
      </c>
      <c r="H23" s="17">
        <v>25905</v>
      </c>
      <c r="I23" s="17"/>
      <c r="J23" s="17">
        <v>1392073</v>
      </c>
      <c r="K23" s="17">
        <v>56515</v>
      </c>
      <c r="L23" s="26">
        <v>4.0597727274359896E-2</v>
      </c>
      <c r="M23" s="17">
        <v>660411</v>
      </c>
      <c r="N23" s="26">
        <v>0.47440831048371745</v>
      </c>
      <c r="O23" s="44">
        <v>12</v>
      </c>
      <c r="P23" s="17">
        <v>66053</v>
      </c>
      <c r="Q23" s="17"/>
      <c r="R23" s="17">
        <v>1396538</v>
      </c>
      <c r="S23" s="17">
        <v>110074</v>
      </c>
      <c r="T23" s="26">
        <v>7.881919432195901E-2</v>
      </c>
      <c r="U23" s="17">
        <v>583299</v>
      </c>
      <c r="V23" s="26">
        <v>0.41767499344808379</v>
      </c>
      <c r="W23" s="44">
        <v>22</v>
      </c>
      <c r="X23" s="17">
        <v>64756</v>
      </c>
      <c r="Y23" s="17"/>
      <c r="Z23" s="17">
        <v>1249312</v>
      </c>
      <c r="AA23" s="17">
        <v>138713</v>
      </c>
      <c r="AB23" s="26">
        <v>0.11103151174406393</v>
      </c>
      <c r="AC23" s="17">
        <v>513526</v>
      </c>
      <c r="AD23" s="26">
        <v>0.41104704029097616</v>
      </c>
      <c r="AE23" s="44">
        <v>30</v>
      </c>
      <c r="AF23" s="17">
        <v>166390</v>
      </c>
      <c r="AG23" s="17"/>
      <c r="AH23" s="17">
        <v>1347411.1299999973</v>
      </c>
      <c r="AI23" s="17">
        <v>275050</v>
      </c>
      <c r="AJ23" s="26">
        <v>0.20413220128291545</v>
      </c>
      <c r="AK23" s="17">
        <v>472487</v>
      </c>
      <c r="AL23" s="26">
        <v>0.35066282998567849</v>
      </c>
      <c r="AM23" s="44">
        <v>32</v>
      </c>
      <c r="AN23" s="17">
        <v>162489</v>
      </c>
      <c r="AO23" s="17"/>
      <c r="AP23" s="102">
        <v>1167105.8699999971</v>
      </c>
      <c r="AQ23" s="102">
        <v>40452.639999999992</v>
      </c>
      <c r="AR23" s="103">
        <f>AQ23/AP23</f>
        <v>3.466064308287653E-2</v>
      </c>
      <c r="AS23" s="102">
        <v>480545.58</v>
      </c>
      <c r="AT23" s="103">
        <f>AS23/AP23</f>
        <v>0.41174120733365965</v>
      </c>
      <c r="AU23" s="100">
        <v>24</v>
      </c>
      <c r="AV23" s="102">
        <v>56258.239999999991</v>
      </c>
      <c r="AW23" s="159" t="str">
        <f t="shared" si="0"/>
        <v>OK</v>
      </c>
      <c r="AX23" t="s">
        <v>9</v>
      </c>
      <c r="AY23">
        <v>24</v>
      </c>
      <c r="AZ23">
        <v>56258.239999999991</v>
      </c>
    </row>
    <row r="24" spans="1:52" x14ac:dyDescent="0.25">
      <c r="A24" s="16" t="s">
        <v>23</v>
      </c>
      <c r="B24" s="17">
        <v>29105522</v>
      </c>
      <c r="C24" s="17">
        <v>6432285</v>
      </c>
      <c r="D24" s="26">
        <v>0.22099878504154641</v>
      </c>
      <c r="E24" s="17">
        <v>6660779.3600000003</v>
      </c>
      <c r="F24" s="26">
        <v>0.22884933518801004</v>
      </c>
      <c r="G24" s="44">
        <v>111</v>
      </c>
      <c r="H24" s="17">
        <v>555314</v>
      </c>
      <c r="I24" s="17"/>
      <c r="J24" s="17">
        <v>29958812</v>
      </c>
      <c r="K24" s="17">
        <v>6064972</v>
      </c>
      <c r="L24" s="26">
        <v>0.20244367500286728</v>
      </c>
      <c r="M24" s="17">
        <v>6864317</v>
      </c>
      <c r="N24" s="26">
        <v>0.2291251402091645</v>
      </c>
      <c r="O24" s="44">
        <v>96</v>
      </c>
      <c r="P24" s="17">
        <v>505068</v>
      </c>
      <c r="Q24" s="17"/>
      <c r="R24" s="17">
        <v>30168836</v>
      </c>
      <c r="S24" s="17">
        <v>5438413</v>
      </c>
      <c r="T24" s="26">
        <v>0.18026592076671435</v>
      </c>
      <c r="U24" s="17">
        <v>6225660</v>
      </c>
      <c r="V24" s="26">
        <v>0.20636062988973125</v>
      </c>
      <c r="W24" s="44">
        <v>133</v>
      </c>
      <c r="X24" s="17">
        <v>629461</v>
      </c>
      <c r="Y24" s="17"/>
      <c r="Z24" s="17">
        <v>31661634</v>
      </c>
      <c r="AA24" s="17">
        <v>7052994</v>
      </c>
      <c r="AB24" s="26">
        <v>0.22276152898489068</v>
      </c>
      <c r="AC24" s="17">
        <v>6338734</v>
      </c>
      <c r="AD24" s="26">
        <v>0.2002023647926699</v>
      </c>
      <c r="AE24" s="44">
        <v>142</v>
      </c>
      <c r="AF24" s="17">
        <v>989148</v>
      </c>
      <c r="AG24" s="17"/>
      <c r="AH24" s="17">
        <v>34931731.870000653</v>
      </c>
      <c r="AI24" s="17">
        <v>7216839</v>
      </c>
      <c r="AJ24" s="26">
        <v>0.20659837384695537</v>
      </c>
      <c r="AK24" s="17">
        <v>7646290</v>
      </c>
      <c r="AL24" s="26">
        <v>0.21889238210277884</v>
      </c>
      <c r="AM24" s="44">
        <v>155</v>
      </c>
      <c r="AN24" s="17">
        <v>922151</v>
      </c>
      <c r="AO24" s="17"/>
      <c r="AP24" s="102">
        <v>39305248.070000522</v>
      </c>
      <c r="AQ24" s="102">
        <v>7174452.0100000324</v>
      </c>
      <c r="AR24" s="103">
        <f>AQ24/AP24</f>
        <v>0.18253165575301092</v>
      </c>
      <c r="AS24" s="102">
        <v>9050088.0899999943</v>
      </c>
      <c r="AT24" s="103">
        <f>AS24/AP24</f>
        <v>0.23025139222839344</v>
      </c>
      <c r="AU24" s="100">
        <v>106</v>
      </c>
      <c r="AV24" s="102">
        <v>805834.73000000091</v>
      </c>
      <c r="AW24" s="159" t="str">
        <f t="shared" si="0"/>
        <v>OK</v>
      </c>
      <c r="AX24" t="s">
        <v>23</v>
      </c>
      <c r="AY24">
        <v>106</v>
      </c>
      <c r="AZ24">
        <v>805834.73000000091</v>
      </c>
    </row>
    <row r="25" spans="1:52" x14ac:dyDescent="0.25">
      <c r="A25" s="16" t="s">
        <v>24</v>
      </c>
      <c r="B25" s="17"/>
      <c r="C25" s="17"/>
      <c r="D25" s="26"/>
      <c r="E25" s="17"/>
      <c r="F25" s="26"/>
      <c r="G25" s="44"/>
      <c r="H25" s="17"/>
      <c r="I25" s="17"/>
      <c r="J25" s="17"/>
      <c r="K25" s="17"/>
      <c r="L25" s="26"/>
      <c r="M25" s="17"/>
      <c r="N25" s="26"/>
      <c r="O25" s="44"/>
      <c r="P25" s="17"/>
      <c r="Q25" s="17"/>
      <c r="R25" s="17"/>
      <c r="S25" s="17"/>
      <c r="T25" s="26"/>
      <c r="U25" s="17"/>
      <c r="V25" s="26"/>
      <c r="W25" s="44"/>
      <c r="X25" s="17"/>
      <c r="Y25" s="17"/>
      <c r="Z25" s="17"/>
      <c r="AA25" s="17"/>
      <c r="AB25" s="26"/>
      <c r="AC25" s="17"/>
      <c r="AD25" s="26"/>
      <c r="AE25" s="44"/>
      <c r="AF25" s="17"/>
      <c r="AG25" s="17"/>
      <c r="AH25" s="17"/>
      <c r="AI25" s="17"/>
      <c r="AJ25" s="26"/>
      <c r="AK25" s="17"/>
      <c r="AL25" s="26"/>
      <c r="AM25" s="44"/>
      <c r="AN25" s="17"/>
      <c r="AO25" s="17"/>
      <c r="AP25" s="102"/>
      <c r="AQ25" s="102"/>
      <c r="AR25" s="103"/>
      <c r="AS25" s="102"/>
      <c r="AT25" s="103"/>
      <c r="AU25" s="100"/>
      <c r="AV25" s="102"/>
      <c r="AW25" s="159" t="str">
        <f t="shared" si="0"/>
        <v>OK</v>
      </c>
      <c r="AX25" t="s">
        <v>24</v>
      </c>
    </row>
    <row r="26" spans="1:52" x14ac:dyDescent="0.25">
      <c r="A26" s="16" t="s">
        <v>33</v>
      </c>
      <c r="B26" s="17">
        <v>42550</v>
      </c>
      <c r="C26" s="17">
        <v>1000</v>
      </c>
      <c r="D26" s="26">
        <v>2.3501762632197415E-2</v>
      </c>
      <c r="E26" s="17">
        <v>4100</v>
      </c>
      <c r="F26" s="26">
        <v>9.6357226792009407E-2</v>
      </c>
      <c r="G26" s="44"/>
      <c r="H26" s="17"/>
      <c r="I26" s="17"/>
      <c r="J26" s="17">
        <v>66151</v>
      </c>
      <c r="K26" s="17">
        <v>1468</v>
      </c>
      <c r="L26" s="26">
        <v>2.2191652431558101E-2</v>
      </c>
      <c r="M26" s="17">
        <v>4200</v>
      </c>
      <c r="N26" s="26">
        <v>6.3491103687019088E-2</v>
      </c>
      <c r="O26" s="44"/>
      <c r="P26" s="17"/>
      <c r="Q26" s="17"/>
      <c r="R26" s="17">
        <v>61102</v>
      </c>
      <c r="S26" s="17">
        <v>2200</v>
      </c>
      <c r="T26" s="26">
        <v>3.6005368073058167E-2</v>
      </c>
      <c r="U26" s="17">
        <v>3300</v>
      </c>
      <c r="V26" s="26">
        <v>5.400805210958725E-2</v>
      </c>
      <c r="W26" s="44"/>
      <c r="X26" s="17"/>
      <c r="Y26" s="17"/>
      <c r="Z26" s="17">
        <v>62420</v>
      </c>
      <c r="AA26" s="17">
        <v>10900</v>
      </c>
      <c r="AB26" s="26">
        <v>0.17462351810317206</v>
      </c>
      <c r="AC26" s="17">
        <v>2400</v>
      </c>
      <c r="AD26" s="26">
        <v>3.8449214995193846E-2</v>
      </c>
      <c r="AE26" s="44"/>
      <c r="AF26" s="17"/>
      <c r="AG26" s="17"/>
      <c r="AH26" s="17">
        <v>75863.5</v>
      </c>
      <c r="AI26" s="17">
        <v>2500</v>
      </c>
      <c r="AJ26" s="26">
        <v>3.2953923823709687E-2</v>
      </c>
      <c r="AK26" s="17">
        <v>2600</v>
      </c>
      <c r="AL26" s="26">
        <v>3.4272080776658075E-2</v>
      </c>
      <c r="AM26" s="44"/>
      <c r="AN26" s="17"/>
      <c r="AO26" s="17"/>
      <c r="AP26" s="102">
        <v>81687.75</v>
      </c>
      <c r="AQ26" s="102">
        <v>11410</v>
      </c>
      <c r="AR26" s="103">
        <f t="shared" ref="AR26:AR37" si="1">AQ26/AP26</f>
        <v>0.13967822592738813</v>
      </c>
      <c r="AS26" s="102">
        <v>4700</v>
      </c>
      <c r="AT26" s="103">
        <f t="shared" ref="AT26:AT37" si="2">AS26/AP26</f>
        <v>5.7536166683499056E-2</v>
      </c>
      <c r="AU26" s="100"/>
      <c r="AV26" s="102"/>
      <c r="AW26" s="159" t="str">
        <f t="shared" si="0"/>
        <v>OK</v>
      </c>
      <c r="AX26" t="s">
        <v>33</v>
      </c>
    </row>
    <row r="27" spans="1:52" x14ac:dyDescent="0.25">
      <c r="A27" s="16" t="s">
        <v>10</v>
      </c>
      <c r="B27" s="17">
        <v>35006601</v>
      </c>
      <c r="C27" s="17">
        <v>5743260</v>
      </c>
      <c r="D27" s="26">
        <v>0.1640622007260859</v>
      </c>
      <c r="E27" s="17">
        <v>8359893.5499999998</v>
      </c>
      <c r="F27" s="26">
        <v>0.23880906203947078</v>
      </c>
      <c r="G27" s="44">
        <v>51</v>
      </c>
      <c r="H27" s="17">
        <v>133242</v>
      </c>
      <c r="I27" s="17"/>
      <c r="J27" s="17">
        <v>37793195</v>
      </c>
      <c r="K27" s="17">
        <v>3294313</v>
      </c>
      <c r="L27" s="26">
        <v>8.7166829901520637E-2</v>
      </c>
      <c r="M27" s="17">
        <v>8192410</v>
      </c>
      <c r="N27" s="26">
        <v>0.21676944751561755</v>
      </c>
      <c r="O27" s="44">
        <v>61</v>
      </c>
      <c r="P27" s="17">
        <v>174750</v>
      </c>
      <c r="Q27" s="17"/>
      <c r="R27" s="17">
        <v>46061604</v>
      </c>
      <c r="S27" s="17">
        <v>3262601</v>
      </c>
      <c r="T27" s="26">
        <v>7.08312502534649E-2</v>
      </c>
      <c r="U27" s="17">
        <v>7730004</v>
      </c>
      <c r="V27" s="26">
        <v>0.16781881933594844</v>
      </c>
      <c r="W27" s="44">
        <v>69</v>
      </c>
      <c r="X27" s="17">
        <v>119498</v>
      </c>
      <c r="Y27" s="17"/>
      <c r="Z27" s="17">
        <v>48566761</v>
      </c>
      <c r="AA27" s="17">
        <v>3562292</v>
      </c>
      <c r="AB27" s="26">
        <v>7.3348354443484504E-2</v>
      </c>
      <c r="AC27" s="17">
        <v>7426068</v>
      </c>
      <c r="AD27" s="26">
        <v>0.15290432895041117</v>
      </c>
      <c r="AE27" s="44">
        <v>68</v>
      </c>
      <c r="AF27" s="17">
        <v>176889</v>
      </c>
      <c r="AG27" s="17"/>
      <c r="AH27" s="17">
        <v>46140763.059999645</v>
      </c>
      <c r="AI27" s="17">
        <v>3440422</v>
      </c>
      <c r="AJ27" s="26">
        <v>7.4563612992836939E-2</v>
      </c>
      <c r="AK27" s="17">
        <v>6909002</v>
      </c>
      <c r="AL27" s="26">
        <v>0.14973748897511305</v>
      </c>
      <c r="AM27" s="44">
        <v>83</v>
      </c>
      <c r="AN27" s="17">
        <v>252903</v>
      </c>
      <c r="AO27" s="17"/>
      <c r="AP27" s="102">
        <v>45503521.899999715</v>
      </c>
      <c r="AQ27" s="102">
        <v>4412897.9499999927</v>
      </c>
      <c r="AR27" s="103">
        <f t="shared" si="1"/>
        <v>9.6979261510745179E-2</v>
      </c>
      <c r="AS27" s="102">
        <v>6586249.5799999982</v>
      </c>
      <c r="AT27" s="103">
        <f t="shared" si="2"/>
        <v>0.1447415343909905</v>
      </c>
      <c r="AU27" s="100">
        <v>60</v>
      </c>
      <c r="AV27" s="102">
        <v>152000</v>
      </c>
      <c r="AW27" s="159" t="str">
        <f t="shared" si="0"/>
        <v>OK</v>
      </c>
      <c r="AX27" t="s">
        <v>10</v>
      </c>
      <c r="AY27">
        <v>60</v>
      </c>
      <c r="AZ27">
        <v>152000</v>
      </c>
    </row>
    <row r="28" spans="1:52" x14ac:dyDescent="0.25">
      <c r="A28" s="16" t="s">
        <v>358</v>
      </c>
      <c r="B28" s="17">
        <v>13640534</v>
      </c>
      <c r="C28" s="17">
        <v>885191</v>
      </c>
      <c r="D28" s="26">
        <v>6.48941603019354E-2</v>
      </c>
      <c r="E28" s="17">
        <v>1706402.52</v>
      </c>
      <c r="F28" s="26">
        <v>0.12509792651812604</v>
      </c>
      <c r="G28" s="44">
        <v>70</v>
      </c>
      <c r="H28" s="17">
        <v>95733</v>
      </c>
      <c r="I28" s="17"/>
      <c r="J28" s="17">
        <v>12971230</v>
      </c>
      <c r="K28" s="17">
        <v>1377778</v>
      </c>
      <c r="L28" s="26">
        <v>0.10621799166308823</v>
      </c>
      <c r="M28" s="17">
        <v>1877477</v>
      </c>
      <c r="N28" s="26">
        <v>0.14474163205802379</v>
      </c>
      <c r="O28" s="44">
        <v>19</v>
      </c>
      <c r="P28" s="17">
        <v>55501</v>
      </c>
      <c r="Q28" s="17"/>
      <c r="R28" s="17">
        <v>15501357</v>
      </c>
      <c r="S28" s="17">
        <v>1128908</v>
      </c>
      <c r="T28" s="26">
        <v>7.2826398359833913E-2</v>
      </c>
      <c r="U28" s="17">
        <v>2109558</v>
      </c>
      <c r="V28" s="26">
        <v>0.13608860179144316</v>
      </c>
      <c r="W28" s="44">
        <v>69</v>
      </c>
      <c r="X28" s="17">
        <v>88191</v>
      </c>
      <c r="Y28" s="17"/>
      <c r="Z28" s="17">
        <v>18054637</v>
      </c>
      <c r="AA28" s="17">
        <v>1471313</v>
      </c>
      <c r="AB28" s="26">
        <v>8.1492250439596209E-2</v>
      </c>
      <c r="AC28" s="17">
        <v>2231627</v>
      </c>
      <c r="AD28" s="26">
        <v>0.12360409129244747</v>
      </c>
      <c r="AE28" s="44">
        <v>107</v>
      </c>
      <c r="AF28" s="17">
        <v>142172</v>
      </c>
      <c r="AG28" s="17"/>
      <c r="AH28" s="17">
        <v>20641772.290000122</v>
      </c>
      <c r="AI28" s="17">
        <v>1433495</v>
      </c>
      <c r="AJ28" s="26">
        <v>6.9446314001557638E-2</v>
      </c>
      <c r="AK28" s="17">
        <v>2387615</v>
      </c>
      <c r="AL28" s="26">
        <v>0.11566908918749563</v>
      </c>
      <c r="AM28" s="44">
        <v>83</v>
      </c>
      <c r="AN28" s="17">
        <v>77379</v>
      </c>
      <c r="AO28" s="17"/>
      <c r="AP28" s="102">
        <v>22883632.950000238</v>
      </c>
      <c r="AQ28" s="102">
        <v>2382376.5499999989</v>
      </c>
      <c r="AR28" s="103">
        <f t="shared" si="1"/>
        <v>0.10410831860506546</v>
      </c>
      <c r="AS28" s="102">
        <v>2633421.169999999</v>
      </c>
      <c r="AT28" s="103">
        <f t="shared" si="2"/>
        <v>0.11507880657559541</v>
      </c>
      <c r="AU28" s="100">
        <v>73</v>
      </c>
      <c r="AV28" s="102">
        <v>79429.01999999996</v>
      </c>
      <c r="AW28" s="159" t="str">
        <f t="shared" si="0"/>
        <v>OK</v>
      </c>
      <c r="AX28" t="s">
        <v>358</v>
      </c>
      <c r="AY28">
        <v>73</v>
      </c>
      <c r="AZ28">
        <v>79429.01999999996</v>
      </c>
    </row>
    <row r="29" spans="1:52" x14ac:dyDescent="0.25">
      <c r="A29" s="16" t="s">
        <v>190</v>
      </c>
      <c r="B29" s="17">
        <v>2196316</v>
      </c>
      <c r="C29" s="17">
        <v>226996</v>
      </c>
      <c r="D29" s="26">
        <v>0.10335306941259818</v>
      </c>
      <c r="E29" s="17">
        <v>498625.79</v>
      </c>
      <c r="F29" s="26">
        <v>0.22702825549693212</v>
      </c>
      <c r="G29" s="44">
        <v>96</v>
      </c>
      <c r="H29" s="17">
        <v>319673</v>
      </c>
      <c r="I29" s="17"/>
      <c r="J29" s="17">
        <v>2968423</v>
      </c>
      <c r="K29" s="17">
        <v>119609</v>
      </c>
      <c r="L29" s="26">
        <v>4.0293785622871135E-2</v>
      </c>
      <c r="M29" s="17">
        <v>573590</v>
      </c>
      <c r="N29" s="26">
        <v>0.19323054699414471</v>
      </c>
      <c r="O29" s="44">
        <v>146</v>
      </c>
      <c r="P29" s="17">
        <v>545493</v>
      </c>
      <c r="Q29" s="17"/>
      <c r="R29" s="17">
        <v>3344531</v>
      </c>
      <c r="S29" s="17">
        <v>545065</v>
      </c>
      <c r="T29" s="26">
        <v>0.16297202806611749</v>
      </c>
      <c r="U29" s="17">
        <v>657280</v>
      </c>
      <c r="V29" s="26">
        <v>0.19652381753973874</v>
      </c>
      <c r="W29" s="44">
        <v>179</v>
      </c>
      <c r="X29" s="17">
        <v>446153</v>
      </c>
      <c r="Y29" s="17"/>
      <c r="Z29" s="17">
        <v>3007070</v>
      </c>
      <c r="AA29" s="17">
        <v>630520</v>
      </c>
      <c r="AB29" s="26">
        <v>0.20967918937703478</v>
      </c>
      <c r="AC29" s="17">
        <v>615726</v>
      </c>
      <c r="AD29" s="26">
        <v>0.20475945022896042</v>
      </c>
      <c r="AE29" s="44">
        <v>175</v>
      </c>
      <c r="AF29" s="17">
        <v>504259</v>
      </c>
      <c r="AG29" s="17"/>
      <c r="AH29" s="17">
        <v>4009062.2499999953</v>
      </c>
      <c r="AI29" s="17">
        <v>630126</v>
      </c>
      <c r="AJ29" s="26">
        <v>0.15717540928679785</v>
      </c>
      <c r="AK29" s="17">
        <v>778076</v>
      </c>
      <c r="AL29" s="26">
        <v>0.19407930121314551</v>
      </c>
      <c r="AM29" s="44">
        <v>244</v>
      </c>
      <c r="AN29" s="17">
        <v>599942</v>
      </c>
      <c r="AO29" s="17"/>
      <c r="AP29" s="102">
        <v>4762846.8799999971</v>
      </c>
      <c r="AQ29" s="102">
        <v>462156.23000000004</v>
      </c>
      <c r="AR29" s="103">
        <f t="shared" si="1"/>
        <v>9.7033610704696918E-2</v>
      </c>
      <c r="AS29" s="102">
        <v>736225.39999999979</v>
      </c>
      <c r="AT29" s="103">
        <f t="shared" si="2"/>
        <v>0.15457675179345681</v>
      </c>
      <c r="AU29" s="100">
        <v>143</v>
      </c>
      <c r="AV29" s="102">
        <v>441346.70999999979</v>
      </c>
      <c r="AW29" s="159" t="str">
        <f t="shared" si="0"/>
        <v>OK</v>
      </c>
      <c r="AX29" t="s">
        <v>190</v>
      </c>
      <c r="AY29">
        <v>143</v>
      </c>
      <c r="AZ29">
        <v>441346.70999999979</v>
      </c>
    </row>
    <row r="30" spans="1:52" x14ac:dyDescent="0.25">
      <c r="A30" s="16" t="s">
        <v>11</v>
      </c>
      <c r="B30" s="17">
        <v>3614935</v>
      </c>
      <c r="C30" s="17">
        <v>434677</v>
      </c>
      <c r="D30" s="26">
        <v>0.12024476235395658</v>
      </c>
      <c r="E30" s="17">
        <v>992486.71</v>
      </c>
      <c r="F30" s="26">
        <v>0.27455174436054863</v>
      </c>
      <c r="G30" s="44">
        <v>14</v>
      </c>
      <c r="H30" s="17">
        <v>53084</v>
      </c>
      <c r="I30" s="17"/>
      <c r="J30" s="17">
        <v>3460727</v>
      </c>
      <c r="K30" s="17">
        <v>832870</v>
      </c>
      <c r="L30" s="26">
        <v>0.24066330571582215</v>
      </c>
      <c r="M30" s="17">
        <v>919218</v>
      </c>
      <c r="N30" s="26">
        <v>0.26561413252186605</v>
      </c>
      <c r="O30" s="44">
        <v>14</v>
      </c>
      <c r="P30" s="17">
        <v>65514</v>
      </c>
      <c r="Q30" s="17"/>
      <c r="R30" s="17">
        <v>3895779</v>
      </c>
      <c r="S30" s="17">
        <v>218319</v>
      </c>
      <c r="T30" s="26">
        <v>5.6039883165857202E-2</v>
      </c>
      <c r="U30" s="17">
        <v>872848</v>
      </c>
      <c r="V30" s="26">
        <v>0.22404967016866204</v>
      </c>
      <c r="W30" s="44">
        <v>15</v>
      </c>
      <c r="X30" s="17">
        <v>113500</v>
      </c>
      <c r="Y30" s="17"/>
      <c r="Z30" s="17">
        <v>3958087</v>
      </c>
      <c r="AA30" s="17">
        <v>369453</v>
      </c>
      <c r="AB30" s="26">
        <v>9.3341303513540752E-2</v>
      </c>
      <c r="AC30" s="17">
        <v>871948</v>
      </c>
      <c r="AD30" s="26">
        <v>0.22029530932493399</v>
      </c>
      <c r="AE30" s="44">
        <v>24</v>
      </c>
      <c r="AF30" s="17">
        <v>191824</v>
      </c>
      <c r="AG30" s="17"/>
      <c r="AH30" s="17">
        <v>4549448.459999999</v>
      </c>
      <c r="AI30" s="17">
        <v>561722</v>
      </c>
      <c r="AJ30" s="26">
        <v>0.12347035139288073</v>
      </c>
      <c r="AK30" s="17">
        <v>1019021</v>
      </c>
      <c r="AL30" s="26">
        <v>0.22398781060155151</v>
      </c>
      <c r="AM30" s="44">
        <v>23</v>
      </c>
      <c r="AN30" s="17">
        <v>155522</v>
      </c>
      <c r="AO30" s="17"/>
      <c r="AP30" s="102">
        <v>4405654.0299999984</v>
      </c>
      <c r="AQ30" s="102">
        <v>476033.31</v>
      </c>
      <c r="AR30" s="103">
        <f t="shared" si="1"/>
        <v>0.10805054295196216</v>
      </c>
      <c r="AS30" s="102">
        <v>899293.25000000012</v>
      </c>
      <c r="AT30" s="103">
        <f t="shared" si="2"/>
        <v>0.20412253070175837</v>
      </c>
      <c r="AU30" s="100">
        <v>25</v>
      </c>
      <c r="AV30" s="102">
        <v>129124.47</v>
      </c>
      <c r="AW30" s="159" t="str">
        <f t="shared" si="0"/>
        <v>OK</v>
      </c>
      <c r="AX30" t="s">
        <v>11</v>
      </c>
      <c r="AY30">
        <v>25</v>
      </c>
      <c r="AZ30">
        <v>129124.47</v>
      </c>
    </row>
    <row r="31" spans="1:52" x14ac:dyDescent="0.25">
      <c r="A31" s="16" t="s">
        <v>12</v>
      </c>
      <c r="B31" s="17">
        <v>3974675</v>
      </c>
      <c r="C31" s="17">
        <v>1836683</v>
      </c>
      <c r="D31" s="26">
        <v>0.46209639781868955</v>
      </c>
      <c r="E31" s="17">
        <v>542448.65</v>
      </c>
      <c r="F31" s="26">
        <v>0.1364762276160944</v>
      </c>
      <c r="G31" s="44">
        <v>1</v>
      </c>
      <c r="H31" s="17">
        <v>9</v>
      </c>
      <c r="I31" s="17"/>
      <c r="J31" s="17">
        <v>3282714</v>
      </c>
      <c r="K31" s="17">
        <v>1085529</v>
      </c>
      <c r="L31" s="26">
        <v>0.33068034559209242</v>
      </c>
      <c r="M31" s="17">
        <v>524134</v>
      </c>
      <c r="N31" s="26">
        <v>0.1596648383014786</v>
      </c>
      <c r="O31" s="44"/>
      <c r="P31" s="17"/>
      <c r="Q31" s="17"/>
      <c r="R31" s="17">
        <v>2520930</v>
      </c>
      <c r="S31" s="17">
        <v>589095</v>
      </c>
      <c r="T31" s="26">
        <v>0.23368161749830418</v>
      </c>
      <c r="U31" s="17">
        <v>140239</v>
      </c>
      <c r="V31" s="26">
        <v>5.5629866755522762E-2</v>
      </c>
      <c r="W31" s="44"/>
      <c r="X31" s="17"/>
      <c r="Y31" s="17"/>
      <c r="Z31" s="17">
        <v>2919196</v>
      </c>
      <c r="AA31" s="17">
        <v>903643</v>
      </c>
      <c r="AB31" s="26">
        <v>0.30955201363663143</v>
      </c>
      <c r="AC31" s="17">
        <v>273746</v>
      </c>
      <c r="AD31" s="26">
        <v>9.3774450225336023E-2</v>
      </c>
      <c r="AE31" s="44"/>
      <c r="AF31" s="17"/>
      <c r="AG31" s="17"/>
      <c r="AH31" s="17">
        <v>4022972.1199999978</v>
      </c>
      <c r="AI31" s="17">
        <v>810672</v>
      </c>
      <c r="AJ31" s="26">
        <v>0.20151071790176872</v>
      </c>
      <c r="AK31" s="17">
        <v>476931</v>
      </c>
      <c r="AL31" s="26">
        <v>0.11855190286528763</v>
      </c>
      <c r="AM31" s="44">
        <v>1</v>
      </c>
      <c r="AN31" s="17">
        <v>1000</v>
      </c>
      <c r="AO31" s="17"/>
      <c r="AP31" s="102">
        <v>3653522.9699999993</v>
      </c>
      <c r="AQ31" s="102">
        <v>534032.94999999995</v>
      </c>
      <c r="AR31" s="103">
        <f t="shared" si="1"/>
        <v>0.14616931503786332</v>
      </c>
      <c r="AS31" s="102">
        <v>753908.05000000016</v>
      </c>
      <c r="AT31" s="103">
        <f t="shared" si="2"/>
        <v>0.20635098128314225</v>
      </c>
      <c r="AU31" s="100">
        <v>2</v>
      </c>
      <c r="AV31" s="102">
        <v>150</v>
      </c>
      <c r="AW31" s="159" t="str">
        <f t="shared" si="0"/>
        <v>OK</v>
      </c>
      <c r="AX31" t="s">
        <v>12</v>
      </c>
      <c r="AY31">
        <v>2</v>
      </c>
      <c r="AZ31">
        <v>150</v>
      </c>
    </row>
    <row r="32" spans="1:52" x14ac:dyDescent="0.25">
      <c r="A32" s="16" t="s">
        <v>13</v>
      </c>
      <c r="B32" s="17">
        <v>2607851</v>
      </c>
      <c r="C32" s="17">
        <v>434476</v>
      </c>
      <c r="D32" s="26">
        <v>0.16660307663282911</v>
      </c>
      <c r="E32" s="17">
        <v>73876</v>
      </c>
      <c r="F32" s="26">
        <v>2.8328305566537353E-2</v>
      </c>
      <c r="G32" s="44">
        <v>9</v>
      </c>
      <c r="H32" s="17">
        <v>86000</v>
      </c>
      <c r="I32" s="17"/>
      <c r="J32" s="17">
        <v>2932099</v>
      </c>
      <c r="K32" s="17">
        <v>550809</v>
      </c>
      <c r="L32" s="26">
        <v>0.18785484391898091</v>
      </c>
      <c r="M32" s="17">
        <v>95997</v>
      </c>
      <c r="N32" s="26">
        <v>3.274002685448206E-2</v>
      </c>
      <c r="O32" s="44">
        <v>51</v>
      </c>
      <c r="P32" s="17">
        <v>121930</v>
      </c>
      <c r="Q32" s="17"/>
      <c r="R32" s="17">
        <v>3660512</v>
      </c>
      <c r="S32" s="17">
        <v>353010</v>
      </c>
      <c r="T32" s="26">
        <v>9.643732898567195E-2</v>
      </c>
      <c r="U32" s="17">
        <v>84550</v>
      </c>
      <c r="V32" s="26">
        <v>2.3097861719890551E-2</v>
      </c>
      <c r="W32" s="44">
        <v>58</v>
      </c>
      <c r="X32" s="17">
        <v>109800</v>
      </c>
      <c r="Y32" s="17"/>
      <c r="Z32" s="17">
        <v>4212459</v>
      </c>
      <c r="AA32" s="17">
        <v>291944</v>
      </c>
      <c r="AB32" s="26">
        <v>6.9304888190009684E-2</v>
      </c>
      <c r="AC32" s="17">
        <v>162624</v>
      </c>
      <c r="AD32" s="26">
        <v>3.8605479602294053E-2</v>
      </c>
      <c r="AE32" s="44">
        <v>49</v>
      </c>
      <c r="AF32" s="17">
        <v>56742</v>
      </c>
      <c r="AG32" s="17"/>
      <c r="AH32" s="17">
        <v>4086909.9299999881</v>
      </c>
      <c r="AI32" s="17">
        <v>397624</v>
      </c>
      <c r="AJ32" s="26">
        <v>9.7292087863556406E-2</v>
      </c>
      <c r="AK32" s="17">
        <v>281639</v>
      </c>
      <c r="AL32" s="26">
        <v>6.8912455822093641E-2</v>
      </c>
      <c r="AM32" s="44">
        <v>6</v>
      </c>
      <c r="AN32" s="17">
        <v>56950</v>
      </c>
      <c r="AO32" s="17"/>
      <c r="AP32" s="102">
        <v>4038396.7599999886</v>
      </c>
      <c r="AQ32" s="102">
        <v>351090.56000000006</v>
      </c>
      <c r="AR32" s="103">
        <f t="shared" si="1"/>
        <v>8.6938104615555664E-2</v>
      </c>
      <c r="AS32" s="102">
        <v>399728.64999999997</v>
      </c>
      <c r="AT32" s="103">
        <f t="shared" si="2"/>
        <v>9.8982015328281187E-2</v>
      </c>
      <c r="AU32" s="100">
        <v>4</v>
      </c>
      <c r="AV32" s="102">
        <v>30000</v>
      </c>
      <c r="AW32" s="159" t="str">
        <f t="shared" si="0"/>
        <v>OK</v>
      </c>
      <c r="AX32" t="s">
        <v>13</v>
      </c>
      <c r="AY32">
        <v>4</v>
      </c>
      <c r="AZ32">
        <v>30000</v>
      </c>
    </row>
    <row r="33" spans="1:52" x14ac:dyDescent="0.25">
      <c r="A33" s="16" t="s">
        <v>14</v>
      </c>
      <c r="B33" s="17">
        <v>537963</v>
      </c>
      <c r="C33" s="17">
        <v>101217</v>
      </c>
      <c r="D33" s="26">
        <v>0.18814862732195337</v>
      </c>
      <c r="E33" s="17">
        <v>302804</v>
      </c>
      <c r="F33" s="26">
        <v>0.56287142424293124</v>
      </c>
      <c r="G33" s="44"/>
      <c r="H33" s="17"/>
      <c r="I33" s="17"/>
      <c r="J33" s="17">
        <v>596680</v>
      </c>
      <c r="K33" s="17">
        <v>71353</v>
      </c>
      <c r="L33" s="26">
        <v>0.11958336126567004</v>
      </c>
      <c r="M33" s="17">
        <v>367268</v>
      </c>
      <c r="N33" s="26">
        <v>0.61551920627472012</v>
      </c>
      <c r="O33" s="44"/>
      <c r="P33" s="17"/>
      <c r="Q33" s="17"/>
      <c r="R33" s="17">
        <v>436763</v>
      </c>
      <c r="S33" s="17">
        <v>32078</v>
      </c>
      <c r="T33" s="26">
        <v>7.344486597994794E-2</v>
      </c>
      <c r="U33" s="17">
        <v>309616</v>
      </c>
      <c r="V33" s="26">
        <v>0.70888788656548285</v>
      </c>
      <c r="W33" s="44"/>
      <c r="X33" s="17"/>
      <c r="Y33" s="17"/>
      <c r="Z33" s="17">
        <v>876148</v>
      </c>
      <c r="AA33" s="17">
        <v>136198</v>
      </c>
      <c r="AB33" s="26">
        <v>0.15545090555476929</v>
      </c>
      <c r="AC33" s="17">
        <v>429817</v>
      </c>
      <c r="AD33" s="26">
        <v>0.49057579313084093</v>
      </c>
      <c r="AE33" s="44"/>
      <c r="AF33" s="17"/>
      <c r="AG33" s="17"/>
      <c r="AH33" s="17">
        <v>913164.5</v>
      </c>
      <c r="AI33" s="17">
        <v>73931</v>
      </c>
      <c r="AJ33" s="26">
        <v>8.0961316389325258E-2</v>
      </c>
      <c r="AK33" s="17">
        <v>396426</v>
      </c>
      <c r="AL33" s="26">
        <v>0.43412331513106345</v>
      </c>
      <c r="AM33" s="44"/>
      <c r="AN33" s="17"/>
      <c r="AO33" s="17"/>
      <c r="AP33" s="102">
        <v>913781.95999999973</v>
      </c>
      <c r="AQ33" s="102">
        <v>35000</v>
      </c>
      <c r="AR33" s="103">
        <f t="shared" si="1"/>
        <v>3.8302353878818106E-2</v>
      </c>
      <c r="AS33" s="102">
        <v>499953</v>
      </c>
      <c r="AT33" s="103">
        <f t="shared" si="2"/>
        <v>0.54712504939362139</v>
      </c>
      <c r="AU33" s="100"/>
      <c r="AV33" s="102"/>
      <c r="AW33" s="159" t="str">
        <f t="shared" si="0"/>
        <v>OK</v>
      </c>
      <c r="AX33" t="s">
        <v>14</v>
      </c>
    </row>
    <row r="34" spans="1:52" x14ac:dyDescent="0.25">
      <c r="A34" s="16" t="s">
        <v>15</v>
      </c>
      <c r="B34" s="17">
        <v>8779991</v>
      </c>
      <c r="C34" s="17">
        <v>515352</v>
      </c>
      <c r="D34" s="26">
        <v>5.8696187729577402E-2</v>
      </c>
      <c r="E34" s="17">
        <v>363036</v>
      </c>
      <c r="F34" s="26">
        <v>4.1348106165484677E-2</v>
      </c>
      <c r="G34" s="44">
        <v>3</v>
      </c>
      <c r="H34" s="17">
        <v>7225</v>
      </c>
      <c r="I34" s="17"/>
      <c r="J34" s="17">
        <v>9691945</v>
      </c>
      <c r="K34" s="17">
        <v>867346</v>
      </c>
      <c r="L34" s="26">
        <v>8.9491428191142239E-2</v>
      </c>
      <c r="M34" s="17">
        <v>456561</v>
      </c>
      <c r="N34" s="26">
        <v>4.7107262783682741E-2</v>
      </c>
      <c r="O34" s="44">
        <v>7</v>
      </c>
      <c r="P34" s="17">
        <v>4619</v>
      </c>
      <c r="Q34" s="17"/>
      <c r="R34" s="17">
        <v>9916531</v>
      </c>
      <c r="S34" s="17">
        <v>528814</v>
      </c>
      <c r="T34" s="26">
        <v>5.3326511055126029E-2</v>
      </c>
      <c r="U34" s="17">
        <v>483943</v>
      </c>
      <c r="V34" s="26">
        <v>4.8801642429192223E-2</v>
      </c>
      <c r="W34" s="44">
        <v>7</v>
      </c>
      <c r="X34" s="17">
        <v>21315</v>
      </c>
      <c r="Y34" s="17"/>
      <c r="Z34" s="17">
        <v>10357949</v>
      </c>
      <c r="AA34" s="17">
        <v>1045889</v>
      </c>
      <c r="AB34" s="26">
        <v>0.10097452690682296</v>
      </c>
      <c r="AC34" s="17">
        <v>332093</v>
      </c>
      <c r="AD34" s="26">
        <v>3.2061656221709527E-2</v>
      </c>
      <c r="AE34" s="44">
        <v>3</v>
      </c>
      <c r="AF34" s="17">
        <v>17000</v>
      </c>
      <c r="AG34" s="17"/>
      <c r="AH34" s="17">
        <v>11300274.329999998</v>
      </c>
      <c r="AI34" s="17">
        <v>716540</v>
      </c>
      <c r="AJ34" s="26">
        <v>6.3409080087350425E-2</v>
      </c>
      <c r="AK34" s="17">
        <v>438219</v>
      </c>
      <c r="AL34" s="26">
        <v>3.8779501028272829E-2</v>
      </c>
      <c r="AM34" s="44">
        <v>7</v>
      </c>
      <c r="AN34" s="17">
        <v>4061</v>
      </c>
      <c r="AO34" s="17"/>
      <c r="AP34" s="102">
        <v>10649779.299999999</v>
      </c>
      <c r="AQ34" s="102">
        <v>1013299.0599999999</v>
      </c>
      <c r="AR34" s="103">
        <f t="shared" si="1"/>
        <v>9.5147423383693974E-2</v>
      </c>
      <c r="AS34" s="102">
        <v>390616</v>
      </c>
      <c r="AT34" s="103">
        <f t="shared" si="2"/>
        <v>3.6678318770418092E-2</v>
      </c>
      <c r="AU34" s="100">
        <v>3</v>
      </c>
      <c r="AV34" s="102">
        <v>14000</v>
      </c>
      <c r="AW34" s="159" t="str">
        <f t="shared" si="0"/>
        <v>OK</v>
      </c>
      <c r="AX34" t="s">
        <v>15</v>
      </c>
      <c r="AY34">
        <v>3</v>
      </c>
      <c r="AZ34">
        <v>14000</v>
      </c>
    </row>
    <row r="35" spans="1:52" x14ac:dyDescent="0.25">
      <c r="A35" s="16" t="s">
        <v>16</v>
      </c>
      <c r="B35" s="17">
        <v>2102237</v>
      </c>
      <c r="C35" s="17">
        <v>162108</v>
      </c>
      <c r="D35" s="26">
        <v>7.7112142922039717E-2</v>
      </c>
      <c r="E35" s="17">
        <v>323004.56</v>
      </c>
      <c r="F35" s="26">
        <v>0.15364802351019413</v>
      </c>
      <c r="G35" s="44">
        <v>30</v>
      </c>
      <c r="H35" s="17">
        <v>66037</v>
      </c>
      <c r="I35" s="17"/>
      <c r="J35" s="17">
        <v>2658420</v>
      </c>
      <c r="K35" s="17">
        <v>202885</v>
      </c>
      <c r="L35" s="26">
        <v>7.6317888068852924E-2</v>
      </c>
      <c r="M35" s="17">
        <v>376062</v>
      </c>
      <c r="N35" s="26">
        <v>0.14146071726815176</v>
      </c>
      <c r="O35" s="44">
        <v>12</v>
      </c>
      <c r="P35" s="17">
        <v>116280</v>
      </c>
      <c r="Q35" s="17"/>
      <c r="R35" s="17">
        <v>5009138</v>
      </c>
      <c r="S35" s="17">
        <v>240073</v>
      </c>
      <c r="T35" s="26">
        <v>4.792700859908431E-2</v>
      </c>
      <c r="U35" s="17">
        <v>343117</v>
      </c>
      <c r="V35" s="26">
        <v>6.8498212666530653E-2</v>
      </c>
      <c r="W35" s="44">
        <v>11</v>
      </c>
      <c r="X35" s="17">
        <v>76509</v>
      </c>
      <c r="Y35" s="17"/>
      <c r="Z35" s="17">
        <v>3244094</v>
      </c>
      <c r="AA35" s="17">
        <v>93339</v>
      </c>
      <c r="AB35" s="26">
        <v>2.8771977630734497E-2</v>
      </c>
      <c r="AC35" s="17">
        <v>390143</v>
      </c>
      <c r="AD35" s="26">
        <v>0.12026254479679072</v>
      </c>
      <c r="AE35" s="44">
        <v>11</v>
      </c>
      <c r="AF35" s="17">
        <v>59261</v>
      </c>
      <c r="AG35" s="17"/>
      <c r="AH35" s="17">
        <v>3022017.8499999978</v>
      </c>
      <c r="AI35" s="17">
        <v>118466</v>
      </c>
      <c r="AJ35" s="26">
        <v>3.9200959716369672E-2</v>
      </c>
      <c r="AK35" s="17">
        <v>258266</v>
      </c>
      <c r="AL35" s="26">
        <v>8.5461440937551106E-2</v>
      </c>
      <c r="AM35" s="44">
        <v>3</v>
      </c>
      <c r="AN35" s="17">
        <v>18758</v>
      </c>
      <c r="AO35" s="17"/>
      <c r="AP35" s="102">
        <v>2987987.8299999987</v>
      </c>
      <c r="AQ35" s="102">
        <v>214428.6</v>
      </c>
      <c r="AR35" s="103">
        <f t="shared" si="1"/>
        <v>7.1763545301990098E-2</v>
      </c>
      <c r="AS35" s="102">
        <v>230085.6</v>
      </c>
      <c r="AT35" s="103">
        <f t="shared" si="2"/>
        <v>7.7003526483573434E-2</v>
      </c>
      <c r="AU35" s="100">
        <v>2</v>
      </c>
      <c r="AV35" s="102">
        <v>14572.75</v>
      </c>
      <c r="AW35" s="159" t="str">
        <f t="shared" si="0"/>
        <v>OK</v>
      </c>
      <c r="AX35" t="s">
        <v>16</v>
      </c>
      <c r="AY35">
        <v>2</v>
      </c>
      <c r="AZ35">
        <v>14572.75</v>
      </c>
    </row>
    <row r="36" spans="1:52" x14ac:dyDescent="0.25">
      <c r="A36" s="16" t="s">
        <v>17</v>
      </c>
      <c r="B36" s="17">
        <v>9607519</v>
      </c>
      <c r="C36" s="17">
        <v>1132331</v>
      </c>
      <c r="D36" s="26">
        <v>0.11785883535593321</v>
      </c>
      <c r="E36" s="17">
        <v>1430051</v>
      </c>
      <c r="F36" s="26">
        <v>0.14884706447106688</v>
      </c>
      <c r="G36" s="44">
        <v>89</v>
      </c>
      <c r="H36" s="17">
        <v>347400</v>
      </c>
      <c r="I36" s="17"/>
      <c r="J36" s="17">
        <v>9795690</v>
      </c>
      <c r="K36" s="17">
        <v>1716106</v>
      </c>
      <c r="L36" s="26">
        <v>0.17518990494799244</v>
      </c>
      <c r="M36" s="17">
        <v>1651526</v>
      </c>
      <c r="N36" s="26">
        <v>0.16859720958911523</v>
      </c>
      <c r="O36" s="44">
        <v>94</v>
      </c>
      <c r="P36" s="17">
        <v>224942</v>
      </c>
      <c r="Q36" s="17"/>
      <c r="R36" s="17">
        <v>9992855</v>
      </c>
      <c r="S36" s="17">
        <v>2091402</v>
      </c>
      <c r="T36" s="26">
        <v>0.20928973751745622</v>
      </c>
      <c r="U36" s="17">
        <v>1598036</v>
      </c>
      <c r="V36" s="26">
        <v>0.15991786131190736</v>
      </c>
      <c r="W36" s="44">
        <v>89</v>
      </c>
      <c r="X36" s="17">
        <v>232427</v>
      </c>
      <c r="Y36" s="17"/>
      <c r="Z36" s="17">
        <v>10941388</v>
      </c>
      <c r="AA36" s="17">
        <v>1219731</v>
      </c>
      <c r="AB36" s="26">
        <v>0.11147863506896931</v>
      </c>
      <c r="AC36" s="17">
        <v>1483034</v>
      </c>
      <c r="AD36" s="26">
        <v>0.1355434977719463</v>
      </c>
      <c r="AE36" s="44">
        <v>105</v>
      </c>
      <c r="AF36" s="17">
        <v>305335</v>
      </c>
      <c r="AG36" s="17"/>
      <c r="AH36" s="17">
        <v>10500226.629999992</v>
      </c>
      <c r="AI36" s="17">
        <v>1358340</v>
      </c>
      <c r="AJ36" s="26">
        <v>0.12936292214104345</v>
      </c>
      <c r="AK36" s="17">
        <v>1592630</v>
      </c>
      <c r="AL36" s="26">
        <v>0.15167577387803499</v>
      </c>
      <c r="AM36" s="44">
        <v>85</v>
      </c>
      <c r="AN36" s="17">
        <v>268984</v>
      </c>
      <c r="AO36" s="17"/>
      <c r="AP36" s="102">
        <v>10135123.160000009</v>
      </c>
      <c r="AQ36" s="102">
        <v>1080551.3099999996</v>
      </c>
      <c r="AR36" s="103">
        <f t="shared" si="1"/>
        <v>0.10661452189003282</v>
      </c>
      <c r="AS36" s="102">
        <v>1646105.0999999999</v>
      </c>
      <c r="AT36" s="103">
        <f t="shared" si="2"/>
        <v>0.16241589510195931</v>
      </c>
      <c r="AU36" s="100">
        <v>21</v>
      </c>
      <c r="AV36" s="102">
        <v>73500</v>
      </c>
      <c r="AW36" s="159" t="str">
        <f t="shared" si="0"/>
        <v>OK</v>
      </c>
      <c r="AX36" t="s">
        <v>17</v>
      </c>
      <c r="AY36">
        <v>21</v>
      </c>
      <c r="AZ36">
        <v>73500</v>
      </c>
    </row>
    <row r="37" spans="1:52" x14ac:dyDescent="0.25">
      <c r="A37" s="16" t="s">
        <v>18</v>
      </c>
      <c r="B37" s="17">
        <v>7542187</v>
      </c>
      <c r="C37" s="17">
        <v>837105</v>
      </c>
      <c r="D37" s="26">
        <v>0.11098969039086408</v>
      </c>
      <c r="E37" s="17">
        <v>749559.27</v>
      </c>
      <c r="F37" s="26">
        <v>9.9382217651193219E-2</v>
      </c>
      <c r="G37" s="44"/>
      <c r="H37" s="17"/>
      <c r="I37" s="17"/>
      <c r="J37" s="17">
        <v>7896229</v>
      </c>
      <c r="K37" s="17">
        <v>532278</v>
      </c>
      <c r="L37" s="26">
        <v>6.740913922329253E-2</v>
      </c>
      <c r="M37" s="17">
        <v>585512</v>
      </c>
      <c r="N37" s="26">
        <v>7.4150838330549931E-2</v>
      </c>
      <c r="O37" s="44"/>
      <c r="P37" s="17"/>
      <c r="Q37" s="17"/>
      <c r="R37" s="17">
        <v>8172087</v>
      </c>
      <c r="S37" s="17">
        <v>417695</v>
      </c>
      <c r="T37" s="26">
        <v>5.111240249889655E-2</v>
      </c>
      <c r="U37" s="17">
        <v>490185</v>
      </c>
      <c r="V37" s="26">
        <v>5.9982841592361905E-2</v>
      </c>
      <c r="W37" s="44">
        <v>1</v>
      </c>
      <c r="X37" s="17">
        <v>750</v>
      </c>
      <c r="Y37" s="17"/>
      <c r="Z37" s="17">
        <v>9525145</v>
      </c>
      <c r="AA37" s="17">
        <v>777479</v>
      </c>
      <c r="AB37" s="26">
        <v>8.1623849295732506E-2</v>
      </c>
      <c r="AC37" s="17">
        <v>597764</v>
      </c>
      <c r="AD37" s="26">
        <v>6.2756419981008157E-2</v>
      </c>
      <c r="AE37" s="44"/>
      <c r="AF37" s="17"/>
      <c r="AG37" s="17"/>
      <c r="AH37" s="17">
        <v>10286931</v>
      </c>
      <c r="AI37" s="17">
        <v>986779</v>
      </c>
      <c r="AJ37" s="26">
        <v>9.592550003494725E-2</v>
      </c>
      <c r="AK37" s="17">
        <v>704604</v>
      </c>
      <c r="AL37" s="26">
        <v>6.8495064271355571E-2</v>
      </c>
      <c r="AM37" s="44"/>
      <c r="AN37" s="17"/>
      <c r="AO37" s="17"/>
      <c r="AP37" s="102">
        <v>10307286.660000004</v>
      </c>
      <c r="AQ37" s="102">
        <v>624941.49</v>
      </c>
      <c r="AR37" s="103">
        <f t="shared" si="1"/>
        <v>6.0631038081558487E-2</v>
      </c>
      <c r="AS37" s="102">
        <v>732559.97999999975</v>
      </c>
      <c r="AT37" s="103">
        <f t="shared" si="2"/>
        <v>7.10720487519651E-2</v>
      </c>
      <c r="AU37" s="100"/>
      <c r="AV37" s="102"/>
      <c r="AW37" s="159" t="str">
        <f t="shared" si="0"/>
        <v>OK</v>
      </c>
      <c r="AX37" t="s">
        <v>18</v>
      </c>
    </row>
    <row r="38" spans="1:52" x14ac:dyDescent="0.25">
      <c r="A38" s="16" t="s">
        <v>360</v>
      </c>
      <c r="B38" s="17"/>
      <c r="C38" s="17"/>
      <c r="D38" s="26"/>
      <c r="E38" s="17"/>
      <c r="F38" s="26"/>
      <c r="G38" s="44"/>
      <c r="H38" s="17"/>
      <c r="I38" s="17"/>
      <c r="J38" s="17"/>
      <c r="K38" s="17"/>
      <c r="L38" s="26"/>
      <c r="M38" s="17"/>
      <c r="N38" s="26"/>
      <c r="O38" s="44"/>
      <c r="P38" s="17"/>
      <c r="Q38" s="17"/>
      <c r="R38" s="17"/>
      <c r="S38" s="17"/>
      <c r="T38" s="26"/>
      <c r="U38" s="17"/>
      <c r="V38" s="26"/>
      <c r="W38" s="44"/>
      <c r="X38" s="17"/>
      <c r="Y38" s="17"/>
      <c r="Z38" s="17"/>
      <c r="AA38" s="17"/>
      <c r="AB38" s="26"/>
      <c r="AC38" s="17"/>
      <c r="AD38" s="26"/>
      <c r="AE38" s="44"/>
      <c r="AF38" s="17"/>
      <c r="AG38" s="17"/>
      <c r="AH38" s="17"/>
      <c r="AI38" s="17"/>
      <c r="AJ38" s="26"/>
      <c r="AK38" s="17"/>
      <c r="AL38" s="26"/>
      <c r="AM38" s="44"/>
      <c r="AN38" s="17"/>
      <c r="AO38" s="17"/>
      <c r="AP38" s="102"/>
      <c r="AQ38" s="102"/>
      <c r="AR38" s="103"/>
      <c r="AS38" s="102"/>
      <c r="AT38" s="103"/>
      <c r="AU38" s="100"/>
      <c r="AV38" s="102"/>
      <c r="AW38" s="159" t="str">
        <f t="shared" si="0"/>
        <v>OK</v>
      </c>
      <c r="AX38" t="s">
        <v>360</v>
      </c>
    </row>
    <row r="39" spans="1:52" x14ac:dyDescent="0.25">
      <c r="A39" s="16" t="s">
        <v>19</v>
      </c>
      <c r="B39" s="17">
        <v>549182</v>
      </c>
      <c r="C39" s="17">
        <v>52500</v>
      </c>
      <c r="D39" s="26">
        <v>9.559672385475125E-2</v>
      </c>
      <c r="E39" s="17">
        <v>50175</v>
      </c>
      <c r="F39" s="26">
        <v>9.1363154655469403E-2</v>
      </c>
      <c r="G39" s="44"/>
      <c r="H39" s="17"/>
      <c r="I39" s="17"/>
      <c r="J39" s="17">
        <v>595905</v>
      </c>
      <c r="K39" s="17">
        <v>24450</v>
      </c>
      <c r="L39" s="26">
        <v>4.1030029954439044E-2</v>
      </c>
      <c r="M39" s="17">
        <v>42700</v>
      </c>
      <c r="N39" s="26">
        <v>7.1655716934746316E-2</v>
      </c>
      <c r="O39" s="44"/>
      <c r="P39" s="17"/>
      <c r="Q39" s="17"/>
      <c r="R39" s="17">
        <v>566573</v>
      </c>
      <c r="S39" s="17">
        <v>102150</v>
      </c>
      <c r="T39" s="26">
        <v>0.1802945075038874</v>
      </c>
      <c r="U39" s="17">
        <v>79550</v>
      </c>
      <c r="V39" s="26">
        <v>0.14040556115452024</v>
      </c>
      <c r="W39" s="44"/>
      <c r="X39" s="17"/>
      <c r="Y39" s="17"/>
      <c r="Z39" s="17">
        <v>624155</v>
      </c>
      <c r="AA39" s="17">
        <v>50779</v>
      </c>
      <c r="AB39" s="26">
        <v>8.1356393844477737E-2</v>
      </c>
      <c r="AC39" s="17">
        <v>58890</v>
      </c>
      <c r="AD39" s="26">
        <v>9.4351563313599993E-2</v>
      </c>
      <c r="AE39" s="44"/>
      <c r="AF39" s="17"/>
      <c r="AG39" s="17"/>
      <c r="AH39" s="17">
        <v>659787.46</v>
      </c>
      <c r="AI39" s="17">
        <v>44509</v>
      </c>
      <c r="AJ39" s="26">
        <v>6.7459602824218576E-2</v>
      </c>
      <c r="AK39" s="17">
        <v>76350</v>
      </c>
      <c r="AL39" s="26">
        <v>0.11571908323325818</v>
      </c>
      <c r="AM39" s="44"/>
      <c r="AN39" s="17"/>
      <c r="AO39" s="17"/>
      <c r="AP39" s="102">
        <v>798985.34</v>
      </c>
      <c r="AQ39" s="102">
        <v>40256</v>
      </c>
      <c r="AR39" s="103">
        <f>AQ39/AP39</f>
        <v>5.0383903163980455E-2</v>
      </c>
      <c r="AS39" s="102">
        <v>18515</v>
      </c>
      <c r="AT39" s="103">
        <f>AS39/AP39</f>
        <v>2.3173141074152876E-2</v>
      </c>
      <c r="AU39" s="100"/>
      <c r="AV39" s="102"/>
      <c r="AW39" s="159" t="str">
        <f t="shared" si="0"/>
        <v>OK</v>
      </c>
      <c r="AX39" t="s">
        <v>19</v>
      </c>
    </row>
    <row r="40" spans="1:52" x14ac:dyDescent="0.25">
      <c r="A40" s="16" t="s">
        <v>385</v>
      </c>
      <c r="B40" s="17">
        <v>445774</v>
      </c>
      <c r="C40" s="17">
        <v>12286</v>
      </c>
      <c r="D40" s="26">
        <v>2.756105111558772E-2</v>
      </c>
      <c r="E40" s="17">
        <v>382010.38</v>
      </c>
      <c r="F40" s="26">
        <v>0.85695975987832396</v>
      </c>
      <c r="G40" s="44">
        <v>2</v>
      </c>
      <c r="H40" s="17">
        <v>35600</v>
      </c>
      <c r="I40" s="17"/>
      <c r="J40" s="17">
        <v>370690</v>
      </c>
      <c r="K40" s="17">
        <v>11050</v>
      </c>
      <c r="L40" s="26">
        <v>2.980927459602363E-2</v>
      </c>
      <c r="M40" s="17">
        <v>277928</v>
      </c>
      <c r="N40" s="26">
        <v>0.74975855836413174</v>
      </c>
      <c r="O40" s="44">
        <v>1</v>
      </c>
      <c r="P40" s="17">
        <v>500</v>
      </c>
      <c r="Q40" s="17"/>
      <c r="R40" s="17">
        <v>180434</v>
      </c>
      <c r="S40" s="17">
        <v>500</v>
      </c>
      <c r="T40" s="26">
        <v>2.7710963565625102E-3</v>
      </c>
      <c r="U40" s="17">
        <v>171384</v>
      </c>
      <c r="V40" s="26">
        <v>0.9498431559462186</v>
      </c>
      <c r="W40" s="44">
        <v>1</v>
      </c>
      <c r="X40" s="17">
        <v>150</v>
      </c>
      <c r="Y40" s="17"/>
      <c r="Z40" s="17">
        <v>126464</v>
      </c>
      <c r="AA40" s="17">
        <v>1940</v>
      </c>
      <c r="AB40" s="26">
        <v>1.5340334008097166E-2</v>
      </c>
      <c r="AC40" s="17">
        <v>125360</v>
      </c>
      <c r="AD40" s="26">
        <v>0.99127024291497978</v>
      </c>
      <c r="AE40" s="44">
        <v>2</v>
      </c>
      <c r="AF40" s="17">
        <v>655</v>
      </c>
      <c r="AG40" s="17"/>
      <c r="AH40" s="17">
        <v>111543.67999999999</v>
      </c>
      <c r="AI40" s="17">
        <v>9450</v>
      </c>
      <c r="AJ40" s="26">
        <v>8.4720174195436274E-2</v>
      </c>
      <c r="AK40" s="17">
        <v>108544</v>
      </c>
      <c r="AL40" s="26">
        <v>0.97310757543591897</v>
      </c>
      <c r="AM40" s="44">
        <v>1</v>
      </c>
      <c r="AN40" s="17">
        <v>3000</v>
      </c>
      <c r="AO40" s="17"/>
      <c r="AP40" s="102">
        <v>153428.32</v>
      </c>
      <c r="AQ40" s="102"/>
      <c r="AR40" s="103">
        <f>AQ40/AP40</f>
        <v>0</v>
      </c>
      <c r="AS40" s="102">
        <v>151829.32</v>
      </c>
      <c r="AT40" s="103">
        <f>AS40/AP40</f>
        <v>0.98957819521194001</v>
      </c>
      <c r="AU40" s="100"/>
      <c r="AV40" s="102"/>
      <c r="AW40" s="159" t="str">
        <f t="shared" si="0"/>
        <v>OK</v>
      </c>
      <c r="AX40" t="s">
        <v>385</v>
      </c>
    </row>
    <row r="41" spans="1:52" x14ac:dyDescent="0.25">
      <c r="A41" s="16" t="s">
        <v>31</v>
      </c>
      <c r="B41" s="17"/>
      <c r="C41" s="17"/>
      <c r="D41" s="26"/>
      <c r="E41" s="17"/>
      <c r="F41" s="26"/>
      <c r="G41" s="44"/>
      <c r="H41" s="17"/>
      <c r="I41" s="17"/>
      <c r="J41" s="17"/>
      <c r="K41" s="17"/>
      <c r="L41" s="26"/>
      <c r="M41" s="17"/>
      <c r="N41" s="26"/>
      <c r="O41" s="44"/>
      <c r="P41" s="17"/>
      <c r="Q41" s="17"/>
      <c r="R41" s="17"/>
      <c r="S41" s="17"/>
      <c r="T41" s="26"/>
      <c r="U41" s="17"/>
      <c r="V41" s="26"/>
      <c r="W41" s="44"/>
      <c r="X41" s="17"/>
      <c r="Y41" s="17"/>
      <c r="Z41" s="17"/>
      <c r="AA41" s="17"/>
      <c r="AB41" s="26"/>
      <c r="AC41" s="17"/>
      <c r="AD41" s="26"/>
      <c r="AE41" s="44"/>
      <c r="AF41" s="17"/>
      <c r="AG41" s="17"/>
      <c r="AH41" s="17"/>
      <c r="AI41" s="17"/>
      <c r="AJ41" s="26"/>
      <c r="AK41" s="17"/>
      <c r="AL41" s="26"/>
      <c r="AM41" s="44"/>
      <c r="AN41" s="17"/>
      <c r="AO41" s="17"/>
      <c r="AP41" s="102"/>
      <c r="AQ41" s="102"/>
      <c r="AR41" s="103"/>
      <c r="AS41" s="102"/>
      <c r="AT41" s="103"/>
      <c r="AU41" s="100"/>
      <c r="AV41" s="102"/>
      <c r="AW41" s="159" t="str">
        <f t="shared" si="0"/>
        <v>OK</v>
      </c>
      <c r="AX41" t="s">
        <v>31</v>
      </c>
    </row>
    <row r="42" spans="1:52" x14ac:dyDescent="0.25">
      <c r="A42" s="16" t="s">
        <v>20</v>
      </c>
      <c r="B42" s="17">
        <v>6868</v>
      </c>
      <c r="C42" s="17">
        <v>4703</v>
      </c>
      <c r="D42" s="26">
        <v>0.68476994758299359</v>
      </c>
      <c r="E42" s="17">
        <v>5868</v>
      </c>
      <c r="F42" s="26">
        <v>0.85439720442632494</v>
      </c>
      <c r="G42" s="44">
        <v>2</v>
      </c>
      <c r="H42" s="17">
        <v>1868</v>
      </c>
      <c r="I42" s="17"/>
      <c r="J42" s="17">
        <v>17110</v>
      </c>
      <c r="K42" s="17">
        <v>3218</v>
      </c>
      <c r="L42" s="26">
        <v>0.18807714786674459</v>
      </c>
      <c r="M42" s="17">
        <v>14610</v>
      </c>
      <c r="N42" s="26">
        <v>0.85388661601402693</v>
      </c>
      <c r="O42" s="44">
        <v>2</v>
      </c>
      <c r="P42" s="17">
        <v>990</v>
      </c>
      <c r="Q42" s="17"/>
      <c r="R42" s="17">
        <v>31724</v>
      </c>
      <c r="S42" s="17">
        <v>4004</v>
      </c>
      <c r="T42" s="26">
        <v>0.12621359223300971</v>
      </c>
      <c r="U42" s="17">
        <v>29224</v>
      </c>
      <c r="V42" s="26">
        <v>0.92119530954482409</v>
      </c>
      <c r="W42" s="44">
        <v>3</v>
      </c>
      <c r="X42" s="17">
        <v>1126</v>
      </c>
      <c r="Y42" s="17"/>
      <c r="Z42" s="17">
        <v>28550</v>
      </c>
      <c r="AA42" s="17">
        <v>1058</v>
      </c>
      <c r="AB42" s="26">
        <v>3.7057793345008756E-2</v>
      </c>
      <c r="AC42" s="17">
        <v>28550</v>
      </c>
      <c r="AD42" s="26">
        <v>1</v>
      </c>
      <c r="AE42" s="44">
        <v>2</v>
      </c>
      <c r="AF42" s="17">
        <v>777</v>
      </c>
      <c r="AG42" s="17"/>
      <c r="AH42" s="17">
        <v>28298.67</v>
      </c>
      <c r="AI42" s="17">
        <v>503</v>
      </c>
      <c r="AJ42" s="26">
        <v>1.7774686937583994E-2</v>
      </c>
      <c r="AK42" s="17">
        <v>28049</v>
      </c>
      <c r="AL42" s="26">
        <v>0.99117732388129909</v>
      </c>
      <c r="AM42" s="44">
        <v>1</v>
      </c>
      <c r="AN42" s="17">
        <v>174</v>
      </c>
      <c r="AO42" s="17"/>
      <c r="AP42" s="102">
        <v>27066.870000000003</v>
      </c>
      <c r="AQ42" s="102">
        <v>142.38999999999999</v>
      </c>
      <c r="AR42" s="103">
        <f>AQ42/AP42</f>
        <v>5.2606747658669054E-3</v>
      </c>
      <c r="AS42" s="102">
        <v>23070.870000000003</v>
      </c>
      <c r="AT42" s="103">
        <f>AS42/AP42</f>
        <v>0.85236564109555335</v>
      </c>
      <c r="AU42" s="100">
        <v>2</v>
      </c>
      <c r="AV42" s="102">
        <v>427.16999999999996</v>
      </c>
      <c r="AW42" s="159" t="str">
        <f t="shared" si="0"/>
        <v>OK</v>
      </c>
      <c r="AX42" t="s">
        <v>20</v>
      </c>
      <c r="AY42">
        <v>2</v>
      </c>
      <c r="AZ42">
        <v>427.16999999999996</v>
      </c>
    </row>
    <row r="43" spans="1:52" x14ac:dyDescent="0.25">
      <c r="A43" s="16" t="s">
        <v>42</v>
      </c>
      <c r="B43" s="17"/>
      <c r="C43" s="17"/>
      <c r="D43" s="26"/>
      <c r="E43" s="17"/>
      <c r="F43" s="26"/>
      <c r="G43" s="44"/>
      <c r="H43" s="17"/>
      <c r="I43" s="17"/>
      <c r="J43" s="17"/>
      <c r="K43" s="17"/>
      <c r="L43" s="26"/>
      <c r="M43" s="17"/>
      <c r="N43" s="26"/>
      <c r="O43" s="44"/>
      <c r="P43" s="17"/>
      <c r="Q43" s="17"/>
      <c r="R43" s="17"/>
      <c r="S43" s="17"/>
      <c r="T43" s="26"/>
      <c r="U43" s="17"/>
      <c r="V43" s="26"/>
      <c r="W43" s="44"/>
      <c r="X43" s="17"/>
      <c r="Y43" s="17"/>
      <c r="Z43" s="17"/>
      <c r="AA43" s="17"/>
      <c r="AB43" s="26"/>
      <c r="AC43" s="17"/>
      <c r="AD43" s="26"/>
      <c r="AE43" s="44"/>
      <c r="AF43" s="17"/>
      <c r="AG43" s="17"/>
      <c r="AH43" s="17"/>
      <c r="AI43" s="17"/>
      <c r="AJ43" s="26"/>
      <c r="AK43" s="17"/>
      <c r="AL43" s="26"/>
      <c r="AM43" s="44"/>
      <c r="AN43" s="17"/>
      <c r="AO43" s="17"/>
      <c r="AP43" s="102"/>
      <c r="AQ43" s="102"/>
      <c r="AR43" s="103"/>
      <c r="AS43" s="102"/>
      <c r="AT43" s="103"/>
      <c r="AU43" s="100"/>
      <c r="AV43" s="102"/>
      <c r="AW43" s="159" t="str">
        <f t="shared" si="0"/>
        <v>No</v>
      </c>
    </row>
    <row r="44" spans="1:52" x14ac:dyDescent="0.25">
      <c r="A44" s="16" t="s">
        <v>43</v>
      </c>
      <c r="B44" s="17"/>
      <c r="C44" s="17"/>
      <c r="D44" s="26"/>
      <c r="E44" s="17"/>
      <c r="F44" s="26"/>
      <c r="G44" s="44"/>
      <c r="H44" s="17"/>
      <c r="I44" s="17"/>
      <c r="J44" s="17"/>
      <c r="K44" s="17"/>
      <c r="L44" s="26"/>
      <c r="M44" s="17"/>
      <c r="N44" s="26"/>
      <c r="O44" s="44"/>
      <c r="P44" s="17"/>
      <c r="Q44" s="17"/>
      <c r="R44" s="17"/>
      <c r="S44" s="17"/>
      <c r="T44" s="26"/>
      <c r="U44" s="17"/>
      <c r="V44" s="26"/>
      <c r="W44" s="44"/>
      <c r="X44" s="17"/>
      <c r="Y44" s="17"/>
      <c r="Z44" s="17"/>
      <c r="AA44" s="17"/>
      <c r="AB44" s="26"/>
      <c r="AC44" s="17"/>
      <c r="AD44" s="26"/>
      <c r="AE44" s="44"/>
      <c r="AF44" s="17"/>
      <c r="AG44" s="17"/>
      <c r="AH44" s="17"/>
      <c r="AI44" s="17"/>
      <c r="AJ44" s="26"/>
      <c r="AK44" s="17"/>
      <c r="AL44" s="26"/>
      <c r="AM44" s="44"/>
      <c r="AN44" s="17"/>
      <c r="AO44" s="17"/>
      <c r="AP44" s="102"/>
      <c r="AQ44" s="102"/>
      <c r="AR44" s="103"/>
      <c r="AS44" s="102"/>
      <c r="AT44" s="103"/>
      <c r="AU44" s="100"/>
      <c r="AV44" s="102"/>
      <c r="AW44" s="159" t="str">
        <f t="shared" si="0"/>
        <v>No</v>
      </c>
    </row>
    <row r="45" spans="1:52" x14ac:dyDescent="0.25">
      <c r="A45" s="16" t="s">
        <v>34</v>
      </c>
      <c r="B45" s="17"/>
      <c r="C45" s="17"/>
      <c r="D45" s="26"/>
      <c r="E45" s="17"/>
      <c r="F45" s="26"/>
      <c r="G45" s="44"/>
      <c r="H45" s="17"/>
      <c r="I45" s="17"/>
      <c r="J45" s="17"/>
      <c r="K45" s="17"/>
      <c r="L45" s="26"/>
      <c r="M45" s="17"/>
      <c r="N45" s="26"/>
      <c r="O45" s="44"/>
      <c r="P45" s="17"/>
      <c r="Q45" s="17"/>
      <c r="R45" s="17"/>
      <c r="S45" s="17"/>
      <c r="T45" s="26"/>
      <c r="U45" s="17"/>
      <c r="V45" s="26"/>
      <c r="W45" s="44"/>
      <c r="X45" s="17"/>
      <c r="Y45" s="17"/>
      <c r="Z45" s="17"/>
      <c r="AA45" s="17"/>
      <c r="AB45" s="26"/>
      <c r="AC45" s="17"/>
      <c r="AD45" s="26"/>
      <c r="AE45" s="44"/>
      <c r="AF45" s="17"/>
      <c r="AG45" s="17"/>
      <c r="AH45" s="17"/>
      <c r="AI45" s="17"/>
      <c r="AJ45" s="26"/>
      <c r="AK45" s="17"/>
      <c r="AL45" s="26"/>
      <c r="AM45" s="44"/>
      <c r="AN45" s="17"/>
      <c r="AO45" s="17"/>
      <c r="AP45" s="102"/>
      <c r="AQ45" s="102"/>
      <c r="AR45" s="103"/>
      <c r="AS45" s="102"/>
      <c r="AT45" s="103"/>
      <c r="AU45" s="100"/>
      <c r="AV45" s="102"/>
      <c r="AW45" s="159" t="str">
        <f t="shared" si="0"/>
        <v>OK</v>
      </c>
      <c r="AX45" t="s">
        <v>34</v>
      </c>
    </row>
    <row r="46" spans="1:52" x14ac:dyDescent="0.25">
      <c r="A46" s="16" t="s">
        <v>35</v>
      </c>
      <c r="B46" s="17"/>
      <c r="C46" s="17"/>
      <c r="D46" s="26"/>
      <c r="E46" s="17"/>
      <c r="F46" s="26"/>
      <c r="G46" s="44"/>
      <c r="H46" s="17"/>
      <c r="I46" s="17"/>
      <c r="J46" s="17"/>
      <c r="K46" s="17"/>
      <c r="L46" s="26"/>
      <c r="M46" s="17"/>
      <c r="N46" s="26"/>
      <c r="O46" s="44"/>
      <c r="P46" s="17"/>
      <c r="Q46" s="17"/>
      <c r="R46" s="17"/>
      <c r="S46" s="17"/>
      <c r="T46" s="26"/>
      <c r="U46" s="17"/>
      <c r="V46" s="26"/>
      <c r="W46" s="44"/>
      <c r="X46" s="17"/>
      <c r="Y46" s="17"/>
      <c r="Z46" s="17"/>
      <c r="AA46" s="17"/>
      <c r="AB46" s="26"/>
      <c r="AC46" s="17"/>
      <c r="AD46" s="26"/>
      <c r="AE46" s="44"/>
      <c r="AF46" s="17"/>
      <c r="AG46" s="17"/>
      <c r="AH46" s="17"/>
      <c r="AI46" s="17"/>
      <c r="AJ46" s="26"/>
      <c r="AK46" s="17"/>
      <c r="AL46" s="26"/>
      <c r="AM46" s="44"/>
      <c r="AN46" s="17"/>
      <c r="AO46" s="17"/>
      <c r="AP46" s="102"/>
      <c r="AQ46" s="102"/>
      <c r="AR46" s="103"/>
      <c r="AS46" s="102"/>
      <c r="AT46" s="103"/>
      <c r="AU46" s="100"/>
      <c r="AV46" s="102"/>
      <c r="AW46" s="159" t="str">
        <f t="shared" si="0"/>
        <v>OK</v>
      </c>
      <c r="AX46" t="s">
        <v>35</v>
      </c>
    </row>
    <row r="47" spans="1:52" x14ac:dyDescent="0.25">
      <c r="A47" s="16" t="s">
        <v>386</v>
      </c>
      <c r="B47" s="17"/>
      <c r="C47" s="17"/>
      <c r="D47" s="26"/>
      <c r="E47" s="17"/>
      <c r="F47" s="26"/>
      <c r="G47" s="44"/>
      <c r="H47" s="17"/>
      <c r="I47" s="17"/>
      <c r="J47" s="17"/>
      <c r="K47" s="17"/>
      <c r="L47" s="26"/>
      <c r="M47" s="17"/>
      <c r="N47" s="26"/>
      <c r="O47" s="44"/>
      <c r="P47" s="17"/>
      <c r="Q47" s="17"/>
      <c r="R47" s="17"/>
      <c r="S47" s="17"/>
      <c r="T47" s="26"/>
      <c r="U47" s="17"/>
      <c r="V47" s="26"/>
      <c r="W47" s="44"/>
      <c r="X47" s="17"/>
      <c r="Y47" s="17"/>
      <c r="Z47" s="17"/>
      <c r="AA47" s="17"/>
      <c r="AB47" s="26"/>
      <c r="AC47" s="17"/>
      <c r="AD47" s="26"/>
      <c r="AE47" s="44"/>
      <c r="AF47" s="17"/>
      <c r="AG47" s="17"/>
      <c r="AH47" s="17"/>
      <c r="AI47" s="17"/>
      <c r="AJ47" s="26"/>
      <c r="AK47" s="17"/>
      <c r="AL47" s="26"/>
      <c r="AM47" s="44"/>
      <c r="AN47" s="17"/>
      <c r="AO47" s="17"/>
      <c r="AP47" s="102"/>
      <c r="AQ47" s="102"/>
      <c r="AR47" s="103"/>
      <c r="AS47" s="102"/>
      <c r="AT47" s="103"/>
      <c r="AU47" s="100"/>
      <c r="AV47" s="102"/>
      <c r="AW47" s="159" t="str">
        <f t="shared" si="0"/>
        <v>OK</v>
      </c>
      <c r="AX47" t="s">
        <v>386</v>
      </c>
    </row>
    <row r="48" spans="1:52" x14ac:dyDescent="0.25">
      <c r="A48" s="16" t="s">
        <v>36</v>
      </c>
      <c r="B48" s="17"/>
      <c r="C48" s="17"/>
      <c r="D48" s="26"/>
      <c r="E48" s="17"/>
      <c r="F48" s="26"/>
      <c r="G48" s="44"/>
      <c r="H48" s="17"/>
      <c r="I48" s="17"/>
      <c r="J48" s="17"/>
      <c r="K48" s="17"/>
      <c r="L48" s="26"/>
      <c r="M48" s="17"/>
      <c r="N48" s="26"/>
      <c r="O48" s="44"/>
      <c r="P48" s="17"/>
      <c r="Q48" s="17"/>
      <c r="R48" s="17"/>
      <c r="S48" s="17"/>
      <c r="T48" s="26"/>
      <c r="U48" s="17"/>
      <c r="V48" s="26"/>
      <c r="W48" s="44"/>
      <c r="X48" s="17"/>
      <c r="Y48" s="17"/>
      <c r="Z48" s="17"/>
      <c r="AA48" s="17"/>
      <c r="AB48" s="26"/>
      <c r="AC48" s="17"/>
      <c r="AD48" s="26"/>
      <c r="AE48" s="44"/>
      <c r="AF48" s="17"/>
      <c r="AG48" s="17"/>
      <c r="AH48" s="17">
        <v>7000</v>
      </c>
      <c r="AI48" s="17">
        <v>7000</v>
      </c>
      <c r="AJ48" s="26">
        <v>1</v>
      </c>
      <c r="AK48" s="17"/>
      <c r="AL48" s="26">
        <v>0</v>
      </c>
      <c r="AM48" s="44">
        <v>2</v>
      </c>
      <c r="AN48" s="17">
        <v>7000</v>
      </c>
      <c r="AO48" s="17"/>
      <c r="AP48" s="102"/>
      <c r="AQ48" s="102"/>
      <c r="AR48" s="103"/>
      <c r="AS48" s="102"/>
      <c r="AT48" s="103"/>
      <c r="AU48" s="100"/>
      <c r="AV48" s="102"/>
      <c r="AW48" s="159" t="str">
        <f t="shared" si="0"/>
        <v>OK</v>
      </c>
      <c r="AX48" t="s">
        <v>36</v>
      </c>
    </row>
    <row r="49" spans="1:52" x14ac:dyDescent="0.25">
      <c r="A49" s="16" t="s">
        <v>38</v>
      </c>
      <c r="B49" s="17"/>
      <c r="C49" s="17"/>
      <c r="D49" s="26"/>
      <c r="E49" s="17"/>
      <c r="F49" s="26"/>
      <c r="G49" s="44"/>
      <c r="H49" s="17"/>
      <c r="I49" s="17"/>
      <c r="J49" s="17"/>
      <c r="K49" s="17"/>
      <c r="L49" s="26"/>
      <c r="M49" s="17"/>
      <c r="N49" s="26"/>
      <c r="O49" s="44"/>
      <c r="P49" s="17"/>
      <c r="Q49" s="17"/>
      <c r="R49" s="17"/>
      <c r="S49" s="17"/>
      <c r="T49" s="26"/>
      <c r="U49" s="17"/>
      <c r="V49" s="26"/>
      <c r="W49" s="44"/>
      <c r="X49" s="17"/>
      <c r="Y49" s="17"/>
      <c r="Z49" s="17"/>
      <c r="AA49" s="17"/>
      <c r="AB49" s="26"/>
      <c r="AC49" s="17"/>
      <c r="AD49" s="26"/>
      <c r="AE49" s="44"/>
      <c r="AF49" s="17"/>
      <c r="AG49" s="17"/>
      <c r="AH49" s="17"/>
      <c r="AI49" s="17"/>
      <c r="AJ49" s="26"/>
      <c r="AK49" s="17"/>
      <c r="AL49" s="26"/>
      <c r="AM49" s="44"/>
      <c r="AN49" s="17"/>
      <c r="AO49" s="17"/>
      <c r="AP49" s="102"/>
      <c r="AQ49" s="102"/>
      <c r="AR49" s="103"/>
      <c r="AS49" s="102"/>
      <c r="AT49" s="103"/>
      <c r="AU49" s="100"/>
      <c r="AV49" s="102"/>
      <c r="AW49" s="159" t="str">
        <f t="shared" si="0"/>
        <v>OK</v>
      </c>
      <c r="AX49" t="s">
        <v>38</v>
      </c>
    </row>
    <row r="50" spans="1:52" x14ac:dyDescent="0.25">
      <c r="A50" s="16" t="s">
        <v>39</v>
      </c>
      <c r="B50" s="17"/>
      <c r="C50" s="17"/>
      <c r="D50" s="26"/>
      <c r="E50" s="17"/>
      <c r="F50" s="26"/>
      <c r="G50" s="44"/>
      <c r="H50" s="17"/>
      <c r="I50" s="17"/>
      <c r="J50" s="17"/>
      <c r="K50" s="17"/>
      <c r="L50" s="26"/>
      <c r="M50" s="17"/>
      <c r="N50" s="26"/>
      <c r="O50" s="44"/>
      <c r="P50" s="17"/>
      <c r="Q50" s="17"/>
      <c r="R50" s="17"/>
      <c r="S50" s="17"/>
      <c r="T50" s="26"/>
      <c r="U50" s="17"/>
      <c r="V50" s="26"/>
      <c r="W50" s="44"/>
      <c r="X50" s="17"/>
      <c r="Y50" s="17"/>
      <c r="Z50" s="17"/>
      <c r="AA50" s="17"/>
      <c r="AB50" s="26"/>
      <c r="AC50" s="17"/>
      <c r="AD50" s="26"/>
      <c r="AE50" s="44"/>
      <c r="AF50" s="17"/>
      <c r="AG50" s="17"/>
      <c r="AH50" s="17"/>
      <c r="AI50" s="17"/>
      <c r="AJ50" s="26"/>
      <c r="AK50" s="17"/>
      <c r="AL50" s="26"/>
      <c r="AM50" s="44"/>
      <c r="AN50" s="17"/>
      <c r="AO50" s="17"/>
      <c r="AP50" s="102"/>
      <c r="AQ50" s="102"/>
      <c r="AR50" s="103"/>
      <c r="AS50" s="102"/>
      <c r="AT50" s="103"/>
      <c r="AU50" s="100"/>
      <c r="AV50" s="102"/>
      <c r="AW50" s="159" t="str">
        <f t="shared" si="0"/>
        <v>OK</v>
      </c>
      <c r="AX50" t="s">
        <v>39</v>
      </c>
    </row>
    <row r="51" spans="1:52" x14ac:dyDescent="0.25">
      <c r="A51" s="16" t="s">
        <v>40</v>
      </c>
      <c r="B51" s="17">
        <v>291328</v>
      </c>
      <c r="C51" s="17">
        <v>118709</v>
      </c>
      <c r="D51" s="26">
        <v>0.40747542289103689</v>
      </c>
      <c r="E51" s="17">
        <v>92120.41</v>
      </c>
      <c r="F51" s="26">
        <v>0.31620856903558875</v>
      </c>
      <c r="G51" s="44"/>
      <c r="H51" s="17"/>
      <c r="I51" s="17"/>
      <c r="J51" s="17">
        <v>285022</v>
      </c>
      <c r="K51" s="17">
        <v>65748</v>
      </c>
      <c r="L51" s="26">
        <v>0.23067693020187915</v>
      </c>
      <c r="M51" s="17">
        <v>81320</v>
      </c>
      <c r="N51" s="26">
        <v>0.28531130930243981</v>
      </c>
      <c r="O51" s="44">
        <v>2</v>
      </c>
      <c r="P51" s="17">
        <v>8800</v>
      </c>
      <c r="Q51" s="17"/>
      <c r="R51" s="17">
        <v>394242</v>
      </c>
      <c r="S51" s="17">
        <v>36607</v>
      </c>
      <c r="T51" s="26">
        <v>9.2854135277316979E-2</v>
      </c>
      <c r="U51" s="17">
        <v>110842</v>
      </c>
      <c r="V51" s="26">
        <v>0.28115218571334361</v>
      </c>
      <c r="W51" s="44">
        <v>1</v>
      </c>
      <c r="X51" s="17">
        <v>1000</v>
      </c>
      <c r="Y51" s="17"/>
      <c r="Z51" s="17">
        <v>543877</v>
      </c>
      <c r="AA51" s="17">
        <v>46815</v>
      </c>
      <c r="AB51" s="26">
        <v>8.607644743204805E-2</v>
      </c>
      <c r="AC51" s="17">
        <v>170704</v>
      </c>
      <c r="AD51" s="26">
        <v>0.31386508346556297</v>
      </c>
      <c r="AE51" s="44">
        <v>4</v>
      </c>
      <c r="AF51" s="17">
        <v>4313</v>
      </c>
      <c r="AG51" s="17"/>
      <c r="AH51" s="17">
        <v>873821.68</v>
      </c>
      <c r="AI51" s="17">
        <v>187902</v>
      </c>
      <c r="AJ51" s="26">
        <v>0.21503471966957835</v>
      </c>
      <c r="AK51" s="17">
        <v>217101</v>
      </c>
      <c r="AL51" s="26">
        <v>0.24845000412441126</v>
      </c>
      <c r="AM51" s="44"/>
      <c r="AN51" s="17"/>
      <c r="AO51" s="17"/>
      <c r="AP51" s="102">
        <v>1018121.4000000003</v>
      </c>
      <c r="AQ51" s="102">
        <v>339009.60000000003</v>
      </c>
      <c r="AR51" s="103">
        <f>AQ51/AP51</f>
        <v>0.33297561567805173</v>
      </c>
      <c r="AS51" s="102">
        <v>250051.59</v>
      </c>
      <c r="AT51" s="103">
        <f>AS51/AP51</f>
        <v>0.24560095682106273</v>
      </c>
      <c r="AU51" s="100"/>
      <c r="AV51" s="102"/>
      <c r="AW51" s="159" t="str">
        <f t="shared" si="0"/>
        <v>OK</v>
      </c>
      <c r="AX51" t="s">
        <v>40</v>
      </c>
    </row>
    <row r="52" spans="1:52" x14ac:dyDescent="0.25">
      <c r="A52" s="16"/>
      <c r="B52" s="16"/>
      <c r="C52" s="16"/>
      <c r="D52" s="34"/>
      <c r="E52" s="16"/>
      <c r="F52" s="34"/>
      <c r="G52" s="16"/>
      <c r="H52" s="16"/>
      <c r="I52" s="16"/>
      <c r="J52" s="16"/>
      <c r="K52" s="16"/>
      <c r="L52" s="34"/>
      <c r="M52" s="16"/>
      <c r="N52" s="34"/>
      <c r="O52" s="16"/>
      <c r="P52" s="16"/>
      <c r="Q52" s="16"/>
      <c r="R52" s="16"/>
      <c r="S52" s="16"/>
      <c r="T52" s="34"/>
      <c r="U52" s="16"/>
      <c r="V52" s="34"/>
      <c r="W52" s="16"/>
      <c r="X52" s="16"/>
      <c r="Y52" s="16"/>
      <c r="Z52" s="16"/>
      <c r="AA52" s="16"/>
      <c r="AB52" s="34"/>
      <c r="AC52" s="16"/>
      <c r="AD52" s="34"/>
      <c r="AE52" s="16"/>
      <c r="AF52" s="16"/>
      <c r="AG52" s="16"/>
      <c r="AH52" s="16"/>
      <c r="AI52" s="16"/>
      <c r="AJ52" s="34"/>
      <c r="AK52" s="16"/>
      <c r="AL52" s="34"/>
      <c r="AM52" s="16"/>
      <c r="AN52" s="16"/>
      <c r="AO52" s="16"/>
      <c r="AP52" s="16"/>
      <c r="AQ52" s="96"/>
      <c r="AR52" s="104"/>
      <c r="AS52" s="96"/>
      <c r="AT52" s="104"/>
      <c r="AU52" s="96"/>
      <c r="AV52" s="96"/>
    </row>
    <row r="53" spans="1:52" ht="15.75" thickBot="1" x14ac:dyDescent="0.3">
      <c r="A53" s="25" t="s">
        <v>123</v>
      </c>
      <c r="B53" s="36">
        <v>238645089.88</v>
      </c>
      <c r="C53" s="36">
        <v>33577678</v>
      </c>
      <c r="D53" s="27">
        <v>0.14070131514913697</v>
      </c>
      <c r="E53" s="36">
        <v>45146149.99000001</v>
      </c>
      <c r="F53" s="27">
        <v>0.18917694896928844</v>
      </c>
      <c r="G53" s="36">
        <v>1057</v>
      </c>
      <c r="H53" s="36">
        <v>5443629</v>
      </c>
      <c r="I53" s="309"/>
      <c r="J53" s="36">
        <v>254108707</v>
      </c>
      <c r="K53" s="36">
        <v>34089343</v>
      </c>
      <c r="L53" s="27">
        <v>0.13415259714024674</v>
      </c>
      <c r="M53" s="36">
        <v>46874338</v>
      </c>
      <c r="N53" s="27">
        <v>0.1844656901111224</v>
      </c>
      <c r="O53" s="36">
        <v>1113</v>
      </c>
      <c r="P53" s="36">
        <v>5930319</v>
      </c>
      <c r="Q53" s="309"/>
      <c r="R53" s="36">
        <v>271291202</v>
      </c>
      <c r="S53" s="36">
        <v>31560632</v>
      </c>
      <c r="T53" s="27">
        <v>0.11633488947422629</v>
      </c>
      <c r="U53" s="36">
        <v>44282718</v>
      </c>
      <c r="V53" s="27">
        <v>0.16322946587851381</v>
      </c>
      <c r="W53" s="36">
        <v>1192</v>
      </c>
      <c r="X53" s="36">
        <v>5413696</v>
      </c>
      <c r="Y53" s="309"/>
      <c r="Z53" s="36">
        <v>290177532</v>
      </c>
      <c r="AA53" s="36">
        <v>32521908</v>
      </c>
      <c r="AB53" s="27">
        <v>0.11207589979778311</v>
      </c>
      <c r="AC53" s="36">
        <v>47689923</v>
      </c>
      <c r="AD53" s="27">
        <v>0.16434740026667538</v>
      </c>
      <c r="AE53" s="36">
        <v>1260</v>
      </c>
      <c r="AF53" s="36">
        <v>6307739</v>
      </c>
      <c r="AG53" s="309"/>
      <c r="AH53" s="36">
        <v>304969564.49000174</v>
      </c>
      <c r="AI53" s="36">
        <v>36741004</v>
      </c>
      <c r="AJ53" s="27">
        <v>0.12047433015632789</v>
      </c>
      <c r="AK53" s="36">
        <v>49745813</v>
      </c>
      <c r="AL53" s="27">
        <v>0.16311730346990377</v>
      </c>
      <c r="AM53" s="36">
        <v>1262</v>
      </c>
      <c r="AN53" s="36">
        <v>6342900</v>
      </c>
      <c r="AO53" s="309"/>
      <c r="AP53" s="318">
        <f>SUM(AP6:AP51)</f>
        <v>313482707.37000191</v>
      </c>
      <c r="AQ53" s="318">
        <f>SUM(AQ6:AQ51)</f>
        <v>32611123.019999992</v>
      </c>
      <c r="AR53" s="105">
        <f>AQ53/AP53</f>
        <v>0.10402845915678935</v>
      </c>
      <c r="AS53" s="318">
        <f>SUM(AS6:AS51)</f>
        <v>50533247.789999932</v>
      </c>
      <c r="AT53" s="105">
        <f>AS53/AP53</f>
        <v>0.16119947480980448</v>
      </c>
      <c r="AU53" s="318">
        <f>SUM(AU6:AU51)</f>
        <v>851</v>
      </c>
      <c r="AV53" s="318">
        <f>SUM(AV6:AV51)</f>
        <v>5167178.5300000012</v>
      </c>
      <c r="AY53">
        <f>SUM(AY6:AY52)</f>
        <v>851</v>
      </c>
      <c r="AZ53">
        <f>SUM(AZ6:AZ52)</f>
        <v>5167178.5300000012</v>
      </c>
    </row>
    <row r="54" spans="1:52" ht="15.75" thickTop="1" x14ac:dyDescent="0.25"/>
  </sheetData>
  <sortState ref="A6:AM51">
    <sortCondition ref="A6"/>
  </sortState>
  <mergeCells count="18">
    <mergeCell ref="O3:P3"/>
    <mergeCell ref="C3:D3"/>
    <mergeCell ref="E3:F3"/>
    <mergeCell ref="G3:H3"/>
    <mergeCell ref="K3:L3"/>
    <mergeCell ref="M3:N3"/>
    <mergeCell ref="AU3:AV3"/>
    <mergeCell ref="S3:T3"/>
    <mergeCell ref="U3:V3"/>
    <mergeCell ref="W3:X3"/>
    <mergeCell ref="AA3:AB3"/>
    <mergeCell ref="AC3:AD3"/>
    <mergeCell ref="AE3:AF3"/>
    <mergeCell ref="AI3:AJ3"/>
    <mergeCell ref="AK3:AL3"/>
    <mergeCell ref="AM3:AN3"/>
    <mergeCell ref="AQ3:AR3"/>
    <mergeCell ref="AS3:AT3"/>
  </mergeCells>
  <pageMargins left="0.7" right="0.7" top="0.75" bottom="0.75" header="0.3" footer="0.3"/>
  <pageSetup orientation="portrait" r:id="rId1"/>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workbookViewId="0">
      <pane xSplit="1" ySplit="5" topLeftCell="M36"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4" max="4" width="9.140625" style="169"/>
    <col min="5" max="5" width="1.7109375" customWidth="1"/>
    <col min="10" max="10" width="9.140625" style="169"/>
    <col min="11" max="11" width="1.7109375" customWidth="1"/>
    <col min="16" max="16" width="9.140625" style="169"/>
    <col min="17" max="17" width="1.7109375" customWidth="1"/>
    <col min="22" max="22" width="9.140625" style="169"/>
    <col min="24" max="24" width="20.140625" customWidth="1"/>
    <col min="27" max="31" width="0" hidden="1" customWidth="1"/>
    <col min="33" max="33" width="9.140625" style="316"/>
    <col min="36" max="36" width="9.140625" style="316"/>
    <col min="37" max="44" width="0" hidden="1" customWidth="1"/>
  </cols>
  <sheetData>
    <row r="1" spans="1:44"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row>
    <row r="2" spans="1:44" x14ac:dyDescent="0.25">
      <c r="B2" s="56" t="s">
        <v>226</v>
      </c>
      <c r="C2" s="56"/>
      <c r="D2" s="163"/>
      <c r="E2" s="38"/>
      <c r="F2" s="56"/>
      <c r="G2" s="56"/>
      <c r="H2" s="56"/>
      <c r="I2" s="56"/>
      <c r="J2" s="163"/>
      <c r="K2" s="38"/>
      <c r="L2" s="56"/>
      <c r="M2" s="56"/>
      <c r="N2" s="56"/>
      <c r="O2" s="56"/>
      <c r="P2" s="163"/>
      <c r="Q2" s="38"/>
      <c r="R2" s="56"/>
      <c r="S2" s="56"/>
      <c r="T2" s="56"/>
      <c r="U2" s="56"/>
      <c r="V2" s="163"/>
    </row>
    <row r="3" spans="1:44" x14ac:dyDescent="0.25">
      <c r="B3" s="57"/>
      <c r="C3" s="57"/>
      <c r="D3" s="164"/>
      <c r="E3" s="73"/>
      <c r="F3" s="57"/>
      <c r="G3" s="57"/>
      <c r="H3" s="57"/>
      <c r="I3" s="57"/>
      <c r="J3" s="164"/>
      <c r="K3" s="73"/>
      <c r="L3" s="57"/>
      <c r="M3" s="57"/>
      <c r="N3" s="57"/>
      <c r="O3" s="57"/>
      <c r="P3" s="164"/>
      <c r="Q3" s="73"/>
      <c r="R3" s="57"/>
      <c r="S3" s="57"/>
      <c r="T3" s="58"/>
      <c r="U3" s="57"/>
      <c r="V3" s="164"/>
      <c r="Y3" s="414" t="s">
        <v>45</v>
      </c>
      <c r="Z3" s="415"/>
      <c r="AA3" s="415"/>
      <c r="AB3" s="415"/>
      <c r="AC3" s="415"/>
      <c r="AD3" s="415"/>
      <c r="AE3" s="415"/>
      <c r="AF3" s="415"/>
      <c r="AG3" s="415"/>
      <c r="AH3" s="416"/>
      <c r="AI3" s="414" t="s">
        <v>376</v>
      </c>
      <c r="AJ3" s="415"/>
      <c r="AK3" s="415"/>
      <c r="AL3" s="415"/>
      <c r="AM3" s="415"/>
      <c r="AN3" s="415"/>
      <c r="AO3" s="415"/>
      <c r="AP3" s="415"/>
      <c r="AQ3" s="415"/>
      <c r="AR3" s="416"/>
    </row>
    <row r="4" spans="1:44" x14ac:dyDescent="0.25">
      <c r="B4" s="43">
        <v>2017</v>
      </c>
      <c r="C4" s="43">
        <v>2017</v>
      </c>
      <c r="D4" s="43">
        <v>2017</v>
      </c>
      <c r="E4" s="43"/>
      <c r="F4" s="43">
        <v>2018</v>
      </c>
      <c r="G4" s="43">
        <v>2018</v>
      </c>
      <c r="H4" s="43">
        <v>2018</v>
      </c>
      <c r="I4" s="43">
        <v>2018</v>
      </c>
      <c r="J4" s="43">
        <v>2018</v>
      </c>
      <c r="K4" s="43"/>
      <c r="L4" s="43">
        <v>2019</v>
      </c>
      <c r="M4" s="43">
        <v>2019</v>
      </c>
      <c r="N4" s="43">
        <v>2019</v>
      </c>
      <c r="O4" s="43">
        <v>2019</v>
      </c>
      <c r="P4" s="43">
        <v>2019</v>
      </c>
      <c r="Q4" s="43"/>
      <c r="R4" s="43">
        <v>2020</v>
      </c>
      <c r="S4" s="43">
        <v>2020</v>
      </c>
      <c r="T4" s="43">
        <v>2020</v>
      </c>
      <c r="U4" s="43">
        <v>2020</v>
      </c>
      <c r="V4" s="43">
        <v>2020</v>
      </c>
      <c r="Y4" t="s">
        <v>369</v>
      </c>
      <c r="AA4" t="s">
        <v>370</v>
      </c>
      <c r="AD4" t="s">
        <v>371</v>
      </c>
      <c r="AF4" t="s">
        <v>372</v>
      </c>
      <c r="AI4" t="s">
        <v>369</v>
      </c>
      <c r="AL4" t="s">
        <v>370</v>
      </c>
      <c r="AO4" t="s">
        <v>371</v>
      </c>
      <c r="AQ4" t="s">
        <v>372</v>
      </c>
    </row>
    <row r="5" spans="1:44" ht="60" x14ac:dyDescent="0.25">
      <c r="A5" s="106" t="s">
        <v>44</v>
      </c>
      <c r="B5" s="106" t="s">
        <v>227</v>
      </c>
      <c r="C5" s="106" t="s">
        <v>228</v>
      </c>
      <c r="D5" s="165" t="s">
        <v>229</v>
      </c>
      <c r="E5" s="165"/>
      <c r="F5" s="106" t="s">
        <v>227</v>
      </c>
      <c r="G5" s="106" t="s">
        <v>230</v>
      </c>
      <c r="H5" s="312" t="s">
        <v>335</v>
      </c>
      <c r="I5" s="106" t="s">
        <v>228</v>
      </c>
      <c r="J5" s="165" t="s">
        <v>229</v>
      </c>
      <c r="K5" s="165"/>
      <c r="L5" s="106" t="s">
        <v>227</v>
      </c>
      <c r="M5" s="106" t="s">
        <v>230</v>
      </c>
      <c r="N5" s="312" t="s">
        <v>335</v>
      </c>
      <c r="O5" s="106" t="s">
        <v>228</v>
      </c>
      <c r="P5" s="165" t="s">
        <v>229</v>
      </c>
      <c r="Q5" s="165"/>
      <c r="R5" s="106" t="s">
        <v>227</v>
      </c>
      <c r="S5" s="106" t="s">
        <v>230</v>
      </c>
      <c r="T5" s="106" t="s">
        <v>335</v>
      </c>
      <c r="U5" s="106" t="s">
        <v>228</v>
      </c>
      <c r="V5" s="165" t="s">
        <v>229</v>
      </c>
      <c r="X5" t="s">
        <v>44</v>
      </c>
      <c r="Y5" t="s">
        <v>47</v>
      </c>
      <c r="AA5" t="s">
        <v>47</v>
      </c>
      <c r="AB5" t="s">
        <v>341</v>
      </c>
      <c r="AF5" t="s">
        <v>47</v>
      </c>
      <c r="AG5" s="316" t="s">
        <v>341</v>
      </c>
      <c r="AI5" t="s">
        <v>47</v>
      </c>
      <c r="AJ5" s="316" t="s">
        <v>341</v>
      </c>
      <c r="AL5" t="s">
        <v>47</v>
      </c>
      <c r="AM5" t="s">
        <v>373</v>
      </c>
      <c r="AQ5" t="s">
        <v>47</v>
      </c>
      <c r="AR5" t="s">
        <v>341</v>
      </c>
    </row>
    <row r="6" spans="1:44" x14ac:dyDescent="0.25">
      <c r="A6" s="16" t="s">
        <v>0</v>
      </c>
      <c r="B6" s="33">
        <v>73</v>
      </c>
      <c r="C6" s="33">
        <v>10</v>
      </c>
      <c r="D6" s="166">
        <v>0.13698630136986301</v>
      </c>
      <c r="E6" s="166"/>
      <c r="F6" s="33">
        <v>71</v>
      </c>
      <c r="G6" s="33">
        <v>7</v>
      </c>
      <c r="H6" s="229">
        <v>9.8591549295774641E-2</v>
      </c>
      <c r="I6" s="33">
        <v>9</v>
      </c>
      <c r="J6" s="166">
        <v>0.12676056338028169</v>
      </c>
      <c r="K6" s="166"/>
      <c r="L6" s="33">
        <v>68</v>
      </c>
      <c r="M6" s="33">
        <v>6</v>
      </c>
      <c r="N6" s="229">
        <v>8.8235294117647065E-2</v>
      </c>
      <c r="O6" s="33">
        <v>9</v>
      </c>
      <c r="P6" s="166">
        <v>0.13235294117647059</v>
      </c>
      <c r="Q6" s="166"/>
      <c r="R6" s="99">
        <v>77</v>
      </c>
      <c r="S6" s="99"/>
      <c r="T6" s="273"/>
      <c r="U6" s="99">
        <v>10</v>
      </c>
      <c r="V6" s="273">
        <f>U6/R6</f>
        <v>0.12987012987012986</v>
      </c>
      <c r="W6" s="159" t="str">
        <f t="shared" ref="W6:W51" si="0">IF(X6=A6,"OK","No")</f>
        <v>OK</v>
      </c>
      <c r="X6" t="s">
        <v>0</v>
      </c>
      <c r="Y6">
        <v>77</v>
      </c>
      <c r="AA6">
        <v>41</v>
      </c>
      <c r="AB6">
        <v>0.53246753246753242</v>
      </c>
      <c r="AD6">
        <v>12.691229318626579</v>
      </c>
      <c r="AI6">
        <v>10</v>
      </c>
      <c r="AJ6" s="316">
        <v>0.12987012987012986</v>
      </c>
      <c r="AL6">
        <v>7</v>
      </c>
      <c r="AM6">
        <v>0.7</v>
      </c>
      <c r="AO6">
        <v>9.6728767123287689</v>
      </c>
    </row>
    <row r="7" spans="1:44" x14ac:dyDescent="0.25">
      <c r="A7" s="16" t="s">
        <v>25</v>
      </c>
      <c r="B7" s="33">
        <v>485</v>
      </c>
      <c r="C7" s="33"/>
      <c r="D7" s="166"/>
      <c r="E7" s="166"/>
      <c r="F7" s="33">
        <v>510</v>
      </c>
      <c r="G7" s="33">
        <v>378</v>
      </c>
      <c r="H7" s="229">
        <v>0.74117647058823533</v>
      </c>
      <c r="I7" s="33"/>
      <c r="J7" s="166"/>
      <c r="K7" s="166"/>
      <c r="L7" s="33">
        <v>617</v>
      </c>
      <c r="M7" s="33">
        <v>353</v>
      </c>
      <c r="N7" s="229">
        <v>0.57212317666126422</v>
      </c>
      <c r="O7" s="33"/>
      <c r="P7" s="166"/>
      <c r="Q7" s="166"/>
      <c r="R7" s="99">
        <v>648</v>
      </c>
      <c r="S7" s="99">
        <v>350</v>
      </c>
      <c r="T7" s="273">
        <f>S7/R7</f>
        <v>0.54012345679012341</v>
      </c>
      <c r="U7" s="99"/>
      <c r="V7" s="273"/>
      <c r="W7" s="159" t="str">
        <f t="shared" si="0"/>
        <v>OK</v>
      </c>
      <c r="X7" t="s">
        <v>25</v>
      </c>
      <c r="Y7">
        <v>648</v>
      </c>
      <c r="AA7">
        <v>219</v>
      </c>
      <c r="AB7">
        <v>0.33796296296296297</v>
      </c>
      <c r="AD7">
        <v>7.941484863859297</v>
      </c>
      <c r="AF7">
        <v>350</v>
      </c>
      <c r="AG7" s="316">
        <v>0.54012345679012341</v>
      </c>
    </row>
    <row r="8" spans="1:44" x14ac:dyDescent="0.25">
      <c r="A8" s="16" t="s">
        <v>384</v>
      </c>
      <c r="B8" s="33"/>
      <c r="C8" s="33"/>
      <c r="D8" s="166"/>
      <c r="E8" s="166"/>
      <c r="F8" s="33"/>
      <c r="G8" s="33"/>
      <c r="H8" s="229"/>
      <c r="I8" s="33"/>
      <c r="J8" s="166"/>
      <c r="K8" s="166"/>
      <c r="L8" s="33"/>
      <c r="M8" s="33"/>
      <c r="N8" s="229"/>
      <c r="O8" s="33"/>
      <c r="P8" s="166"/>
      <c r="Q8" s="166"/>
      <c r="R8" s="99"/>
      <c r="S8" s="99"/>
      <c r="T8" s="273"/>
      <c r="U8" s="99"/>
      <c r="V8" s="273"/>
      <c r="W8" s="159" t="str">
        <f t="shared" si="0"/>
        <v>OK</v>
      </c>
      <c r="X8" t="s">
        <v>384</v>
      </c>
    </row>
    <row r="9" spans="1:44" x14ac:dyDescent="0.25">
      <c r="A9" s="16" t="s">
        <v>1</v>
      </c>
      <c r="B9" s="33">
        <v>4251</v>
      </c>
      <c r="C9" s="33">
        <v>1674</v>
      </c>
      <c r="D9" s="166">
        <v>0.39378969654199014</v>
      </c>
      <c r="E9" s="166"/>
      <c r="F9" s="33">
        <v>4534</v>
      </c>
      <c r="G9" s="33">
        <v>876</v>
      </c>
      <c r="H9" s="229">
        <v>0.19320688134097927</v>
      </c>
      <c r="I9" s="33">
        <v>1726</v>
      </c>
      <c r="J9" s="166">
        <v>0.38067931186590209</v>
      </c>
      <c r="K9" s="166"/>
      <c r="L9" s="33">
        <v>4955</v>
      </c>
      <c r="M9" s="33">
        <v>842</v>
      </c>
      <c r="N9" s="229">
        <v>0.16992936427850655</v>
      </c>
      <c r="O9" s="33">
        <v>1944</v>
      </c>
      <c r="P9" s="166">
        <v>0.39233097880928353</v>
      </c>
      <c r="Q9" s="166"/>
      <c r="R9" s="99">
        <v>5180</v>
      </c>
      <c r="S9" s="99">
        <v>101</v>
      </c>
      <c r="T9" s="273">
        <f>S9/R9</f>
        <v>1.9498069498069499E-2</v>
      </c>
      <c r="U9" s="99">
        <v>1989</v>
      </c>
      <c r="V9" s="273">
        <f>U9/R9</f>
        <v>0.38397683397683396</v>
      </c>
      <c r="W9" s="159" t="str">
        <f t="shared" si="0"/>
        <v>OK</v>
      </c>
      <c r="X9" t="s">
        <v>1</v>
      </c>
      <c r="Y9">
        <v>5180</v>
      </c>
      <c r="AA9">
        <v>2360</v>
      </c>
      <c r="AB9">
        <v>0.45559845559845558</v>
      </c>
      <c r="AD9">
        <v>10.112065372613397</v>
      </c>
      <c r="AF9">
        <v>101</v>
      </c>
      <c r="AG9" s="316">
        <v>1.9498069498069499E-2</v>
      </c>
      <c r="AI9">
        <v>1989</v>
      </c>
      <c r="AJ9" s="316">
        <v>0.38397683397683396</v>
      </c>
      <c r="AL9">
        <v>773</v>
      </c>
      <c r="AM9">
        <v>0.39001009081735621</v>
      </c>
      <c r="AO9">
        <v>9.0607301328393905</v>
      </c>
      <c r="AQ9">
        <v>25</v>
      </c>
      <c r="AR9">
        <v>4.8619214313496695E-3</v>
      </c>
    </row>
    <row r="10" spans="1:44" x14ac:dyDescent="0.25">
      <c r="A10" s="16" t="s">
        <v>2</v>
      </c>
      <c r="B10" s="33">
        <v>2570</v>
      </c>
      <c r="C10" s="33">
        <v>864</v>
      </c>
      <c r="D10" s="166">
        <v>0.33618677042801559</v>
      </c>
      <c r="E10" s="166"/>
      <c r="F10" s="33">
        <v>2902</v>
      </c>
      <c r="G10" s="33">
        <v>1167</v>
      </c>
      <c r="H10" s="229">
        <v>0.40213645761543765</v>
      </c>
      <c r="I10" s="33">
        <v>906</v>
      </c>
      <c r="J10" s="166">
        <v>0.3121984838042729</v>
      </c>
      <c r="K10" s="166"/>
      <c r="L10" s="33">
        <v>3007</v>
      </c>
      <c r="M10" s="33">
        <v>96</v>
      </c>
      <c r="N10" s="229">
        <v>3.1925507149983372E-2</v>
      </c>
      <c r="O10" s="33">
        <v>947</v>
      </c>
      <c r="P10" s="166">
        <v>0.31493182573994016</v>
      </c>
      <c r="Q10" s="166"/>
      <c r="R10" s="99">
        <v>3153</v>
      </c>
      <c r="S10" s="99">
        <v>70</v>
      </c>
      <c r="T10" s="273">
        <f>S10/R10</f>
        <v>2.2201078338090707E-2</v>
      </c>
      <c r="U10" s="99">
        <v>979</v>
      </c>
      <c r="V10" s="273">
        <f>U10/R10</f>
        <v>0.3104979384712972</v>
      </c>
      <c r="W10" s="159" t="str">
        <f t="shared" si="0"/>
        <v>OK</v>
      </c>
      <c r="X10" t="s">
        <v>2</v>
      </c>
      <c r="Y10">
        <v>3153</v>
      </c>
      <c r="AA10">
        <v>1378</v>
      </c>
      <c r="AB10">
        <v>0.43704408499841418</v>
      </c>
      <c r="AD10">
        <v>10.472011435075908</v>
      </c>
      <c r="AF10">
        <v>70</v>
      </c>
      <c r="AG10" s="316">
        <v>2.2201078338090707E-2</v>
      </c>
      <c r="AI10">
        <v>979</v>
      </c>
      <c r="AJ10" s="316">
        <v>0.3104979384712972</v>
      </c>
      <c r="AL10">
        <v>323</v>
      </c>
      <c r="AM10">
        <v>0.33128205128205129</v>
      </c>
      <c r="AO10">
        <v>8.508886547242696</v>
      </c>
      <c r="AQ10">
        <v>24</v>
      </c>
      <c r="AR10">
        <v>7.6335877862595417E-3</v>
      </c>
    </row>
    <row r="11" spans="1:44" x14ac:dyDescent="0.25">
      <c r="A11" s="16" t="s">
        <v>3</v>
      </c>
      <c r="B11" s="33">
        <v>334</v>
      </c>
      <c r="C11" s="33">
        <v>121</v>
      </c>
      <c r="D11" s="166">
        <v>0.36227544910179643</v>
      </c>
      <c r="E11" s="166"/>
      <c r="F11" s="33">
        <v>359</v>
      </c>
      <c r="G11" s="33">
        <v>26</v>
      </c>
      <c r="H11" s="229">
        <v>7.2423398328690811E-2</v>
      </c>
      <c r="I11" s="33">
        <v>129</v>
      </c>
      <c r="J11" s="166">
        <v>0.35933147632311979</v>
      </c>
      <c r="K11" s="166"/>
      <c r="L11" s="33">
        <v>377</v>
      </c>
      <c r="M11" s="33">
        <v>23</v>
      </c>
      <c r="N11" s="229">
        <v>6.1007957559681698E-2</v>
      </c>
      <c r="O11" s="33">
        <v>143</v>
      </c>
      <c r="P11" s="166">
        <v>0.37931034482758619</v>
      </c>
      <c r="Q11" s="166"/>
      <c r="R11" s="99">
        <v>345</v>
      </c>
      <c r="S11" s="99"/>
      <c r="T11" s="273"/>
      <c r="U11" s="99">
        <v>127</v>
      </c>
      <c r="V11" s="273">
        <f>U11/R11</f>
        <v>0.36811594202898551</v>
      </c>
      <c r="W11" s="159" t="str">
        <f t="shared" si="0"/>
        <v>OK</v>
      </c>
      <c r="X11" t="s">
        <v>3</v>
      </c>
      <c r="Y11">
        <v>345</v>
      </c>
      <c r="AA11">
        <v>144</v>
      </c>
      <c r="AB11">
        <v>0.41739130434782606</v>
      </c>
      <c r="AD11">
        <v>9.6175342465753353</v>
      </c>
      <c r="AI11">
        <v>127</v>
      </c>
      <c r="AJ11" s="316">
        <v>0.36811594202898551</v>
      </c>
      <c r="AL11">
        <v>48</v>
      </c>
      <c r="AM11">
        <v>0.37209302325581395</v>
      </c>
      <c r="AO11">
        <v>8.7820112562387145</v>
      </c>
    </row>
    <row r="12" spans="1:44" x14ac:dyDescent="0.25">
      <c r="A12" s="16" t="s">
        <v>32</v>
      </c>
      <c r="B12" s="33">
        <v>44</v>
      </c>
      <c r="C12" s="33">
        <v>3</v>
      </c>
      <c r="D12" s="166">
        <v>6.8181818181818177E-2</v>
      </c>
      <c r="E12" s="166"/>
      <c r="F12" s="33">
        <v>36</v>
      </c>
      <c r="G12" s="33">
        <v>2</v>
      </c>
      <c r="H12" s="229">
        <v>5.5555555555555552E-2</v>
      </c>
      <c r="I12" s="33">
        <v>1</v>
      </c>
      <c r="J12" s="166">
        <v>2.7777777777777776E-2</v>
      </c>
      <c r="K12" s="166"/>
      <c r="L12" s="33">
        <v>36</v>
      </c>
      <c r="M12" s="33">
        <v>2</v>
      </c>
      <c r="N12" s="229">
        <v>5.5555555555555552E-2</v>
      </c>
      <c r="O12" s="33">
        <v>1</v>
      </c>
      <c r="P12" s="166">
        <v>2.7777777777777776E-2</v>
      </c>
      <c r="Q12" s="166"/>
      <c r="R12" s="99">
        <v>46</v>
      </c>
      <c r="S12" s="99">
        <v>2</v>
      </c>
      <c r="T12" s="273">
        <f>S12/R12</f>
        <v>4.3478260869565216E-2</v>
      </c>
      <c r="U12" s="99">
        <v>1</v>
      </c>
      <c r="V12" s="273">
        <f>U12/R12</f>
        <v>2.1739130434782608E-2</v>
      </c>
      <c r="W12" s="159" t="str">
        <f t="shared" si="0"/>
        <v>OK</v>
      </c>
      <c r="X12" t="s">
        <v>32</v>
      </c>
      <c r="Y12">
        <v>46</v>
      </c>
      <c r="AA12">
        <v>16</v>
      </c>
      <c r="AB12">
        <v>0.34782608695652173</v>
      </c>
      <c r="AD12">
        <v>8.2067301965455766</v>
      </c>
      <c r="AF12">
        <v>2</v>
      </c>
      <c r="AG12" s="316">
        <v>4.3478260869565216E-2</v>
      </c>
      <c r="AI12">
        <v>1</v>
      </c>
      <c r="AJ12" s="316">
        <v>2.1739130434782608E-2</v>
      </c>
      <c r="AO12">
        <v>9.8054794520547901</v>
      </c>
    </row>
    <row r="13" spans="1:44" x14ac:dyDescent="0.25">
      <c r="A13" s="16" t="s">
        <v>22</v>
      </c>
      <c r="B13" s="33">
        <v>85</v>
      </c>
      <c r="C13" s="33">
        <v>82</v>
      </c>
      <c r="D13" s="166">
        <v>0.96470588235294119</v>
      </c>
      <c r="E13" s="166"/>
      <c r="F13" s="33">
        <v>92</v>
      </c>
      <c r="G13" s="33">
        <v>87</v>
      </c>
      <c r="H13" s="229">
        <v>0.94565217391304346</v>
      </c>
      <c r="I13" s="33">
        <v>82</v>
      </c>
      <c r="J13" s="166">
        <v>0.89130434782608692</v>
      </c>
      <c r="K13" s="166"/>
      <c r="L13" s="33">
        <v>98</v>
      </c>
      <c r="M13" s="33"/>
      <c r="N13" s="229"/>
      <c r="O13" s="33">
        <v>82</v>
      </c>
      <c r="P13" s="166">
        <v>0.83673469387755106</v>
      </c>
      <c r="Q13" s="166"/>
      <c r="R13" s="99">
        <v>114</v>
      </c>
      <c r="S13" s="99"/>
      <c r="T13" s="273"/>
      <c r="U13" s="99">
        <v>82</v>
      </c>
      <c r="V13" s="273">
        <f>U13/R13</f>
        <v>0.7192982456140351</v>
      </c>
      <c r="W13" s="159" t="str">
        <f t="shared" si="0"/>
        <v>No</v>
      </c>
      <c r="X13" t="s">
        <v>319</v>
      </c>
      <c r="Y13">
        <v>114</v>
      </c>
      <c r="AD13">
        <v>7.0950252343186815</v>
      </c>
      <c r="AI13">
        <v>82</v>
      </c>
      <c r="AJ13" s="316">
        <v>0.7192982456140351</v>
      </c>
      <c r="AO13">
        <v>8.3643835616438409</v>
      </c>
    </row>
    <row r="14" spans="1:44" x14ac:dyDescent="0.25">
      <c r="A14" s="16" t="s">
        <v>4</v>
      </c>
      <c r="B14" s="33">
        <v>52</v>
      </c>
      <c r="C14" s="33"/>
      <c r="D14" s="166"/>
      <c r="E14" s="166"/>
      <c r="F14" s="33">
        <v>51</v>
      </c>
      <c r="G14" s="33">
        <v>24</v>
      </c>
      <c r="H14" s="229">
        <v>0.47058823529411764</v>
      </c>
      <c r="I14" s="33"/>
      <c r="J14" s="166"/>
      <c r="K14" s="166"/>
      <c r="L14" s="33">
        <v>53</v>
      </c>
      <c r="M14" s="33">
        <v>21</v>
      </c>
      <c r="N14" s="229">
        <v>0.39622641509433965</v>
      </c>
      <c r="O14" s="33"/>
      <c r="P14" s="166"/>
      <c r="Q14" s="166"/>
      <c r="R14" s="99">
        <v>53</v>
      </c>
      <c r="S14" s="99">
        <v>16</v>
      </c>
      <c r="T14" s="273">
        <f>S14/R14</f>
        <v>0.30188679245283018</v>
      </c>
      <c r="U14" s="99"/>
      <c r="V14" s="273"/>
      <c r="W14" s="159" t="str">
        <f t="shared" si="0"/>
        <v>OK</v>
      </c>
      <c r="X14" t="s">
        <v>4</v>
      </c>
      <c r="Y14">
        <v>53</v>
      </c>
      <c r="AA14">
        <v>17</v>
      </c>
      <c r="AB14">
        <v>0.32075471698113206</v>
      </c>
      <c r="AD14">
        <v>8.5549754458516407</v>
      </c>
      <c r="AF14">
        <v>16</v>
      </c>
      <c r="AG14" s="316">
        <v>0.30188679245283018</v>
      </c>
    </row>
    <row r="15" spans="1:44" x14ac:dyDescent="0.25">
      <c r="A15" s="16" t="s">
        <v>27</v>
      </c>
      <c r="B15" s="33">
        <v>1788</v>
      </c>
      <c r="C15" s="33">
        <v>4</v>
      </c>
      <c r="D15" s="166">
        <v>2.2371364653243847E-3</v>
      </c>
      <c r="E15" s="166"/>
      <c r="F15" s="33">
        <v>1698</v>
      </c>
      <c r="G15" s="33">
        <v>275</v>
      </c>
      <c r="H15" s="229">
        <v>0.16195524146054183</v>
      </c>
      <c r="I15" s="33">
        <v>5</v>
      </c>
      <c r="J15" s="166">
        <v>2.9446407538280331E-3</v>
      </c>
      <c r="K15" s="166"/>
      <c r="L15" s="33">
        <v>1915</v>
      </c>
      <c r="M15" s="33">
        <v>263</v>
      </c>
      <c r="N15" s="229">
        <v>0.13733681462140993</v>
      </c>
      <c r="O15" s="33">
        <v>5</v>
      </c>
      <c r="P15" s="166">
        <v>2.6109660574412533E-3</v>
      </c>
      <c r="Q15" s="166"/>
      <c r="R15" s="99">
        <v>1808</v>
      </c>
      <c r="S15" s="99">
        <v>108</v>
      </c>
      <c r="T15" s="273">
        <f>S15/R15</f>
        <v>5.9734513274336286E-2</v>
      </c>
      <c r="U15" s="99"/>
      <c r="V15" s="273"/>
      <c r="W15" s="159" t="str">
        <f t="shared" si="0"/>
        <v>OK</v>
      </c>
      <c r="X15" t="s">
        <v>27</v>
      </c>
      <c r="Y15">
        <v>1808</v>
      </c>
      <c r="AA15">
        <v>248</v>
      </c>
      <c r="AB15">
        <v>0.13716814159292035</v>
      </c>
      <c r="AD15">
        <v>5.4175248514971397</v>
      </c>
      <c r="AF15">
        <v>108</v>
      </c>
      <c r="AG15" s="316">
        <v>5.9734513274336286E-2</v>
      </c>
    </row>
    <row r="16" spans="1:44" x14ac:dyDescent="0.25">
      <c r="A16" s="16" t="s">
        <v>28</v>
      </c>
      <c r="B16" s="33">
        <v>61</v>
      </c>
      <c r="C16" s="33"/>
      <c r="D16" s="166"/>
      <c r="E16" s="166"/>
      <c r="F16" s="33">
        <v>57</v>
      </c>
      <c r="G16" s="33">
        <v>19</v>
      </c>
      <c r="H16" s="229">
        <v>0.33333333333333331</v>
      </c>
      <c r="I16" s="33"/>
      <c r="J16" s="166"/>
      <c r="K16" s="166"/>
      <c r="L16" s="33">
        <v>70</v>
      </c>
      <c r="M16" s="33">
        <v>2</v>
      </c>
      <c r="N16" s="229">
        <v>2.8571428571428571E-2</v>
      </c>
      <c r="O16" s="33"/>
      <c r="P16" s="166"/>
      <c r="Q16" s="166"/>
      <c r="R16" s="99">
        <v>72</v>
      </c>
      <c r="S16" s="99">
        <v>1</v>
      </c>
      <c r="T16" s="273">
        <f>S16/R16</f>
        <v>1.3888888888888888E-2</v>
      </c>
      <c r="U16" s="99"/>
      <c r="V16" s="273"/>
      <c r="W16" s="159" t="str">
        <f t="shared" si="0"/>
        <v>OK</v>
      </c>
      <c r="X16" t="s">
        <v>28</v>
      </c>
      <c r="Y16">
        <v>72</v>
      </c>
      <c r="AA16">
        <v>21</v>
      </c>
      <c r="AB16">
        <v>0.29166666666666669</v>
      </c>
      <c r="AD16">
        <v>8.6592465753424719</v>
      </c>
      <c r="AF16">
        <v>1</v>
      </c>
      <c r="AG16" s="316">
        <v>1.3888888888888888E-2</v>
      </c>
    </row>
    <row r="17" spans="1:44" x14ac:dyDescent="0.25">
      <c r="A17" s="16" t="s">
        <v>5</v>
      </c>
      <c r="B17" s="33">
        <v>8</v>
      </c>
      <c r="C17" s="33">
        <v>2</v>
      </c>
      <c r="D17" s="166">
        <v>0.25</v>
      </c>
      <c r="E17" s="166"/>
      <c r="F17" s="33">
        <v>7</v>
      </c>
      <c r="G17" s="33">
        <v>6</v>
      </c>
      <c r="H17" s="229">
        <v>0.8571428571428571</v>
      </c>
      <c r="I17" s="33">
        <v>1</v>
      </c>
      <c r="J17" s="166">
        <v>0.14285714285714285</v>
      </c>
      <c r="K17" s="166"/>
      <c r="L17" s="33">
        <v>7</v>
      </c>
      <c r="M17" s="33">
        <v>6</v>
      </c>
      <c r="N17" s="229">
        <v>0.8571428571428571</v>
      </c>
      <c r="O17" s="33">
        <v>1</v>
      </c>
      <c r="P17" s="166">
        <v>0.14285714285714285</v>
      </c>
      <c r="Q17" s="166"/>
      <c r="R17" s="99">
        <v>1</v>
      </c>
      <c r="S17" s="99"/>
      <c r="T17" s="273"/>
      <c r="U17" s="99"/>
      <c r="V17" s="273"/>
      <c r="W17" s="159" t="str">
        <f t="shared" si="0"/>
        <v>OK</v>
      </c>
      <c r="X17" t="s">
        <v>5</v>
      </c>
      <c r="Y17">
        <v>1</v>
      </c>
      <c r="AA17">
        <v>1</v>
      </c>
      <c r="AB17">
        <v>1</v>
      </c>
      <c r="AD17">
        <v>13.446575342465801</v>
      </c>
      <c r="AO17">
        <v>9.0328767123287701</v>
      </c>
    </row>
    <row r="18" spans="1:44" x14ac:dyDescent="0.25">
      <c r="A18" s="16" t="s">
        <v>21</v>
      </c>
      <c r="B18" s="33"/>
      <c r="C18" s="33"/>
      <c r="D18" s="166"/>
      <c r="E18" s="166"/>
      <c r="F18" s="33"/>
      <c r="G18" s="33"/>
      <c r="H18" s="229"/>
      <c r="I18" s="33"/>
      <c r="J18" s="166"/>
      <c r="K18" s="166"/>
      <c r="L18" s="33"/>
      <c r="M18" s="33"/>
      <c r="N18" s="229"/>
      <c r="O18" s="33"/>
      <c r="P18" s="166"/>
      <c r="Q18" s="166"/>
      <c r="R18" s="99"/>
      <c r="S18" s="99"/>
      <c r="T18" s="273"/>
      <c r="U18" s="99"/>
      <c r="V18" s="273"/>
      <c r="W18" s="159" t="str">
        <f t="shared" si="0"/>
        <v>OK</v>
      </c>
      <c r="X18" t="s">
        <v>21</v>
      </c>
    </row>
    <row r="19" spans="1:44" x14ac:dyDescent="0.25">
      <c r="A19" s="16" t="s">
        <v>7</v>
      </c>
      <c r="B19" s="33">
        <v>158</v>
      </c>
      <c r="C19" s="33">
        <v>36</v>
      </c>
      <c r="D19" s="166">
        <v>0.22784810126582278</v>
      </c>
      <c r="E19" s="166"/>
      <c r="F19" s="33">
        <v>157</v>
      </c>
      <c r="G19" s="33">
        <v>148</v>
      </c>
      <c r="H19" s="229">
        <v>0.9426751592356688</v>
      </c>
      <c r="I19" s="33">
        <v>37</v>
      </c>
      <c r="J19" s="166">
        <v>0.2356687898089172</v>
      </c>
      <c r="K19" s="166"/>
      <c r="L19" s="33">
        <v>178</v>
      </c>
      <c r="M19" s="33">
        <v>6</v>
      </c>
      <c r="N19" s="229">
        <v>3.3707865168539325E-2</v>
      </c>
      <c r="O19" s="33">
        <v>43</v>
      </c>
      <c r="P19" s="166">
        <v>0.24157303370786518</v>
      </c>
      <c r="Q19" s="166"/>
      <c r="R19" s="99">
        <v>169</v>
      </c>
      <c r="S19" s="99"/>
      <c r="T19" s="273"/>
      <c r="U19" s="99">
        <v>43</v>
      </c>
      <c r="V19" s="273">
        <f>U19/R19</f>
        <v>0.25443786982248523</v>
      </c>
      <c r="W19" s="159" t="str">
        <f t="shared" si="0"/>
        <v>OK</v>
      </c>
      <c r="X19" t="s">
        <v>7</v>
      </c>
      <c r="Y19">
        <v>169</v>
      </c>
      <c r="AA19">
        <v>33</v>
      </c>
      <c r="AB19">
        <v>0.19526627218934911</v>
      </c>
      <c r="AD19">
        <v>6.9910675204668875</v>
      </c>
      <c r="AI19">
        <v>43</v>
      </c>
      <c r="AJ19" s="316">
        <v>0.25443786982248523</v>
      </c>
      <c r="AL19">
        <v>5</v>
      </c>
      <c r="AM19">
        <v>0.11363636363636363</v>
      </c>
      <c r="AO19">
        <v>6.2925902864259031</v>
      </c>
    </row>
    <row r="20" spans="1:44" x14ac:dyDescent="0.25">
      <c r="A20" s="16" t="s">
        <v>6</v>
      </c>
      <c r="B20" s="33">
        <v>31</v>
      </c>
      <c r="C20" s="33"/>
      <c r="D20" s="166"/>
      <c r="E20" s="166"/>
      <c r="F20" s="33">
        <v>19</v>
      </c>
      <c r="G20" s="33"/>
      <c r="H20" s="229"/>
      <c r="I20" s="33"/>
      <c r="J20" s="166"/>
      <c r="K20" s="166"/>
      <c r="L20" s="33">
        <v>24</v>
      </c>
      <c r="M20" s="33"/>
      <c r="N20" s="229"/>
      <c r="O20" s="33"/>
      <c r="P20" s="166"/>
      <c r="Q20" s="166"/>
      <c r="R20" s="99">
        <v>31</v>
      </c>
      <c r="S20" s="99"/>
      <c r="T20" s="273"/>
      <c r="U20" s="99"/>
      <c r="V20" s="273"/>
      <c r="W20" s="159" t="str">
        <f t="shared" si="0"/>
        <v>OK</v>
      </c>
      <c r="X20" t="s">
        <v>6</v>
      </c>
      <c r="Y20">
        <v>31</v>
      </c>
      <c r="AA20">
        <v>1</v>
      </c>
      <c r="AB20">
        <v>3.2258064516129031E-2</v>
      </c>
      <c r="AD20">
        <v>5.4996906760936852</v>
      </c>
    </row>
    <row r="21" spans="1:44" x14ac:dyDescent="0.25">
      <c r="A21" s="16" t="s">
        <v>29</v>
      </c>
      <c r="B21" s="33"/>
      <c r="C21" s="33"/>
      <c r="D21" s="166"/>
      <c r="E21" s="166"/>
      <c r="F21" s="33"/>
      <c r="G21" s="33"/>
      <c r="H21" s="229"/>
      <c r="I21" s="33"/>
      <c r="J21" s="166"/>
      <c r="K21" s="166"/>
      <c r="L21" s="33"/>
      <c r="M21" s="33"/>
      <c r="N21" s="229"/>
      <c r="O21" s="33"/>
      <c r="P21" s="166"/>
      <c r="Q21" s="166"/>
      <c r="R21" s="99"/>
      <c r="S21" s="99"/>
      <c r="T21" s="273"/>
      <c r="U21" s="99"/>
      <c r="V21" s="273"/>
      <c r="W21" s="159" t="str">
        <f t="shared" si="0"/>
        <v>OK</v>
      </c>
      <c r="X21" t="s">
        <v>29</v>
      </c>
      <c r="AG21" s="316" t="e">
        <v>#DIV/0!</v>
      </c>
    </row>
    <row r="22" spans="1:44" x14ac:dyDescent="0.25">
      <c r="A22" s="16" t="s">
        <v>8</v>
      </c>
      <c r="B22" s="33">
        <v>32</v>
      </c>
      <c r="C22" s="33">
        <v>1</v>
      </c>
      <c r="D22" s="166">
        <v>3.125E-2</v>
      </c>
      <c r="E22" s="166"/>
      <c r="F22" s="33">
        <v>34</v>
      </c>
      <c r="G22" s="33"/>
      <c r="H22" s="229"/>
      <c r="I22" s="33"/>
      <c r="J22" s="166"/>
      <c r="K22" s="166"/>
      <c r="L22" s="33">
        <v>31</v>
      </c>
      <c r="M22" s="33"/>
      <c r="N22" s="229"/>
      <c r="O22" s="33"/>
      <c r="P22" s="166"/>
      <c r="Q22" s="166"/>
      <c r="R22" s="99">
        <v>33</v>
      </c>
      <c r="S22" s="99"/>
      <c r="T22" s="273"/>
      <c r="U22" s="99"/>
      <c r="V22" s="273"/>
      <c r="W22" s="159" t="str">
        <f t="shared" si="0"/>
        <v>OK</v>
      </c>
      <c r="X22" t="s">
        <v>8</v>
      </c>
      <c r="Y22">
        <v>33</v>
      </c>
      <c r="AA22">
        <v>22</v>
      </c>
      <c r="AB22">
        <v>0.66666666666666663</v>
      </c>
      <c r="AD22">
        <v>14.49331672893315</v>
      </c>
    </row>
    <row r="23" spans="1:44" x14ac:dyDescent="0.25">
      <c r="A23" s="16" t="s">
        <v>9</v>
      </c>
      <c r="B23" s="33">
        <v>455</v>
      </c>
      <c r="C23" s="33">
        <v>122</v>
      </c>
      <c r="D23" s="166">
        <v>0.26813186813186812</v>
      </c>
      <c r="E23" s="166"/>
      <c r="F23" s="33">
        <v>490</v>
      </c>
      <c r="G23" s="33">
        <v>386</v>
      </c>
      <c r="H23" s="229">
        <v>0.78775510204081634</v>
      </c>
      <c r="I23" s="33">
        <v>121</v>
      </c>
      <c r="J23" s="166">
        <v>0.24693877551020407</v>
      </c>
      <c r="K23" s="166"/>
      <c r="L23" s="33">
        <v>518</v>
      </c>
      <c r="M23" s="33">
        <v>2</v>
      </c>
      <c r="N23" s="229">
        <v>3.8610038610038611E-3</v>
      </c>
      <c r="O23" s="33">
        <v>128</v>
      </c>
      <c r="P23" s="166">
        <v>0.24710424710424711</v>
      </c>
      <c r="Q23" s="166"/>
      <c r="R23" s="99">
        <v>554</v>
      </c>
      <c r="S23" s="99">
        <v>2</v>
      </c>
      <c r="T23" s="273">
        <f>S23/R23</f>
        <v>3.6101083032490976E-3</v>
      </c>
      <c r="U23" s="99">
        <v>137</v>
      </c>
      <c r="V23" s="273">
        <f>U23/R23</f>
        <v>0.24729241877256317</v>
      </c>
      <c r="W23" s="159" t="str">
        <f t="shared" si="0"/>
        <v>OK</v>
      </c>
      <c r="X23" t="s">
        <v>9</v>
      </c>
      <c r="Y23">
        <v>554</v>
      </c>
      <c r="AA23">
        <v>228</v>
      </c>
      <c r="AB23">
        <v>0.41155234657039713</v>
      </c>
      <c r="AD23">
        <v>8.1754611542455944</v>
      </c>
      <c r="AF23">
        <v>2</v>
      </c>
      <c r="AG23" s="316">
        <v>3.6101083032490976E-3</v>
      </c>
      <c r="AI23">
        <v>137</v>
      </c>
      <c r="AJ23" s="316">
        <v>0.24729241877256317</v>
      </c>
      <c r="AL23">
        <v>37</v>
      </c>
      <c r="AM23">
        <v>0.27007299270072993</v>
      </c>
      <c r="AO23">
        <v>6.8463953604639487</v>
      </c>
    </row>
    <row r="24" spans="1:44" x14ac:dyDescent="0.25">
      <c r="A24" s="16" t="s">
        <v>23</v>
      </c>
      <c r="B24" s="33">
        <v>6861</v>
      </c>
      <c r="C24" s="33">
        <v>1799</v>
      </c>
      <c r="D24" s="166">
        <v>0.26220667541174758</v>
      </c>
      <c r="E24" s="166"/>
      <c r="F24" s="33">
        <v>7478</v>
      </c>
      <c r="G24" s="33">
        <v>2668</v>
      </c>
      <c r="H24" s="229">
        <v>0.35677988767050012</v>
      </c>
      <c r="I24" s="33">
        <v>1812</v>
      </c>
      <c r="J24" s="166">
        <v>0.24231077828296335</v>
      </c>
      <c r="K24" s="166"/>
      <c r="L24" s="33">
        <v>7811</v>
      </c>
      <c r="M24" s="33">
        <v>476</v>
      </c>
      <c r="N24" s="229">
        <v>6.0939700422481119E-2</v>
      </c>
      <c r="O24" s="33">
        <v>1910</v>
      </c>
      <c r="P24" s="166">
        <v>0.24452694917424145</v>
      </c>
      <c r="Q24" s="166"/>
      <c r="R24" s="99">
        <v>8016</v>
      </c>
      <c r="S24" s="99">
        <v>273</v>
      </c>
      <c r="T24" s="273">
        <f>S24/R24</f>
        <v>3.4056886227544908E-2</v>
      </c>
      <c r="U24" s="99">
        <v>1937</v>
      </c>
      <c r="V24" s="273">
        <f>U24/R24</f>
        <v>0.24164171656686625</v>
      </c>
      <c r="W24" s="159" t="str">
        <f t="shared" si="0"/>
        <v>OK</v>
      </c>
      <c r="X24" t="s">
        <v>23</v>
      </c>
      <c r="Y24">
        <v>8016</v>
      </c>
      <c r="AA24">
        <v>3587</v>
      </c>
      <c r="AB24">
        <v>0.44748003992015967</v>
      </c>
      <c r="AD24">
        <v>9.8970541793126081</v>
      </c>
      <c r="AF24">
        <v>273</v>
      </c>
      <c r="AG24" s="316">
        <v>3.4056886227544908E-2</v>
      </c>
      <c r="AI24">
        <v>1937</v>
      </c>
      <c r="AJ24" s="316">
        <v>0.24164171656686625</v>
      </c>
      <c r="AL24">
        <v>889</v>
      </c>
      <c r="AM24">
        <v>0.4584837545126354</v>
      </c>
      <c r="AO24">
        <v>9.5854733763342992</v>
      </c>
      <c r="AQ24">
        <v>63</v>
      </c>
      <c r="AR24">
        <v>7.8700811992504678E-3</v>
      </c>
    </row>
    <row r="25" spans="1:44" x14ac:dyDescent="0.25">
      <c r="A25" s="16" t="s">
        <v>24</v>
      </c>
      <c r="B25" s="33"/>
      <c r="C25" s="33"/>
      <c r="D25" s="166"/>
      <c r="E25" s="166"/>
      <c r="F25" s="33"/>
      <c r="G25" s="33"/>
      <c r="H25" s="229"/>
      <c r="I25" s="33"/>
      <c r="J25" s="166"/>
      <c r="K25" s="166"/>
      <c r="L25" s="33"/>
      <c r="M25" s="33"/>
      <c r="N25" s="229"/>
      <c r="O25" s="33"/>
      <c r="P25" s="166"/>
      <c r="Q25" s="166"/>
      <c r="R25" s="99"/>
      <c r="S25" s="99"/>
      <c r="T25" s="273"/>
      <c r="U25" s="99"/>
      <c r="V25" s="273"/>
      <c r="W25" s="159" t="str">
        <f t="shared" si="0"/>
        <v>OK</v>
      </c>
      <c r="X25" t="s">
        <v>24</v>
      </c>
    </row>
    <row r="26" spans="1:44" x14ac:dyDescent="0.25">
      <c r="A26" s="16" t="s">
        <v>33</v>
      </c>
      <c r="B26" s="33">
        <v>7</v>
      </c>
      <c r="C26" s="33"/>
      <c r="D26" s="166"/>
      <c r="E26" s="166"/>
      <c r="F26" s="33">
        <v>7</v>
      </c>
      <c r="G26" s="33">
        <v>7</v>
      </c>
      <c r="H26" s="229">
        <v>1</v>
      </c>
      <c r="I26" s="33"/>
      <c r="J26" s="166"/>
      <c r="K26" s="166"/>
      <c r="L26" s="33">
        <v>7</v>
      </c>
      <c r="M26" s="33">
        <v>7</v>
      </c>
      <c r="N26" s="229">
        <v>1</v>
      </c>
      <c r="O26" s="33"/>
      <c r="P26" s="166"/>
      <c r="Q26" s="166"/>
      <c r="R26" s="99">
        <v>7</v>
      </c>
      <c r="S26" s="99"/>
      <c r="T26" s="273"/>
      <c r="U26" s="99"/>
      <c r="V26" s="273"/>
      <c r="W26" s="159" t="str">
        <f t="shared" si="0"/>
        <v>OK</v>
      </c>
      <c r="X26" t="s">
        <v>33</v>
      </c>
      <c r="Y26">
        <v>7</v>
      </c>
      <c r="AA26">
        <v>7</v>
      </c>
      <c r="AB26">
        <v>1</v>
      </c>
      <c r="AD26">
        <v>13.0450097847358</v>
      </c>
    </row>
    <row r="27" spans="1:44" x14ac:dyDescent="0.25">
      <c r="A27" s="16" t="s">
        <v>10</v>
      </c>
      <c r="B27" s="33">
        <v>8</v>
      </c>
      <c r="C27" s="33"/>
      <c r="D27" s="166"/>
      <c r="E27" s="166"/>
      <c r="F27" s="33">
        <v>7</v>
      </c>
      <c r="G27" s="33">
        <v>3</v>
      </c>
      <c r="H27" s="229">
        <v>0.42857142857142855</v>
      </c>
      <c r="I27" s="33"/>
      <c r="J27" s="166"/>
      <c r="K27" s="166"/>
      <c r="L27" s="33">
        <v>7</v>
      </c>
      <c r="M27" s="33"/>
      <c r="N27" s="229"/>
      <c r="O27" s="33"/>
      <c r="P27" s="166"/>
      <c r="Q27" s="166"/>
      <c r="R27" s="99">
        <v>6</v>
      </c>
      <c r="S27" s="99"/>
      <c r="T27" s="273"/>
      <c r="U27" s="99"/>
      <c r="V27" s="273"/>
      <c r="W27" s="159" t="str">
        <f t="shared" si="0"/>
        <v>OK</v>
      </c>
      <c r="X27" t="s">
        <v>10</v>
      </c>
      <c r="Y27">
        <v>6</v>
      </c>
      <c r="AA27">
        <v>4</v>
      </c>
      <c r="AB27">
        <v>0.66666666666666663</v>
      </c>
      <c r="AD27">
        <v>9.8018264840182336</v>
      </c>
    </row>
    <row r="28" spans="1:44" x14ac:dyDescent="0.25">
      <c r="A28" s="16" t="s">
        <v>358</v>
      </c>
      <c r="B28" s="33">
        <v>136</v>
      </c>
      <c r="C28" s="33"/>
      <c r="D28" s="166"/>
      <c r="E28" s="166"/>
      <c r="F28" s="33">
        <v>161</v>
      </c>
      <c r="G28" s="33">
        <v>28</v>
      </c>
      <c r="H28" s="229">
        <v>0.17391304347826086</v>
      </c>
      <c r="I28" s="33">
        <v>2</v>
      </c>
      <c r="J28" s="166">
        <v>1.2422360248447204E-2</v>
      </c>
      <c r="K28" s="166"/>
      <c r="L28" s="33">
        <v>202</v>
      </c>
      <c r="M28" s="33">
        <v>2</v>
      </c>
      <c r="N28" s="229">
        <v>9.9009900990099011E-3</v>
      </c>
      <c r="O28" s="33">
        <v>2</v>
      </c>
      <c r="P28" s="166">
        <v>9.9009900990099011E-3</v>
      </c>
      <c r="Q28" s="166"/>
      <c r="R28" s="99">
        <v>180</v>
      </c>
      <c r="S28" s="99">
        <v>1</v>
      </c>
      <c r="T28" s="273">
        <f>S28/R28</f>
        <v>5.5555555555555558E-3</v>
      </c>
      <c r="U28" s="99">
        <v>2</v>
      </c>
      <c r="V28" s="273">
        <f t="shared" ref="V28:V33" si="1">U28/R28</f>
        <v>1.1111111111111112E-2</v>
      </c>
      <c r="W28" s="159" t="str">
        <f t="shared" si="0"/>
        <v>OK</v>
      </c>
      <c r="X28" t="s">
        <v>358</v>
      </c>
      <c r="Y28">
        <v>180</v>
      </c>
      <c r="AA28">
        <v>51</v>
      </c>
      <c r="AB28">
        <v>0.28333333333333333</v>
      </c>
      <c r="AD28">
        <v>5.5555251141552455</v>
      </c>
      <c r="AF28">
        <v>1</v>
      </c>
      <c r="AG28" s="316">
        <v>5.5555555555555558E-3</v>
      </c>
      <c r="AI28">
        <v>2</v>
      </c>
      <c r="AL28">
        <v>1</v>
      </c>
      <c r="AM28">
        <v>0.5</v>
      </c>
      <c r="AO28">
        <v>8.51917808219177</v>
      </c>
    </row>
    <row r="29" spans="1:44" x14ac:dyDescent="0.25">
      <c r="A29" s="16" t="s">
        <v>190</v>
      </c>
      <c r="B29" s="33">
        <v>58</v>
      </c>
      <c r="C29" s="33">
        <v>33</v>
      </c>
      <c r="D29" s="166">
        <v>0.56896551724137934</v>
      </c>
      <c r="E29" s="166"/>
      <c r="F29" s="33">
        <v>59</v>
      </c>
      <c r="G29" s="33">
        <v>7</v>
      </c>
      <c r="H29" s="229">
        <v>0.11864406779661017</v>
      </c>
      <c r="I29" s="33">
        <v>37</v>
      </c>
      <c r="J29" s="166">
        <v>0.6271186440677966</v>
      </c>
      <c r="K29" s="166"/>
      <c r="L29" s="33">
        <v>59</v>
      </c>
      <c r="M29" s="33">
        <v>8</v>
      </c>
      <c r="N29" s="229">
        <v>0.13559322033898305</v>
      </c>
      <c r="O29" s="33">
        <v>36</v>
      </c>
      <c r="P29" s="166">
        <v>0.61016949152542377</v>
      </c>
      <c r="Q29" s="166"/>
      <c r="R29" s="99">
        <v>61</v>
      </c>
      <c r="S29" s="99"/>
      <c r="T29" s="273"/>
      <c r="U29" s="99">
        <v>36</v>
      </c>
      <c r="V29" s="273">
        <f t="shared" si="1"/>
        <v>0.5901639344262295</v>
      </c>
      <c r="W29" s="159" t="str">
        <f t="shared" si="0"/>
        <v>OK</v>
      </c>
      <c r="X29" t="s">
        <v>190</v>
      </c>
      <c r="Y29">
        <v>61</v>
      </c>
      <c r="AA29">
        <v>27</v>
      </c>
      <c r="AB29">
        <v>0.44262295081967212</v>
      </c>
      <c r="AD29">
        <v>11.651111610150451</v>
      </c>
      <c r="AI29">
        <v>36</v>
      </c>
      <c r="AJ29" s="316">
        <v>0.5901639344262295</v>
      </c>
      <c r="AL29">
        <v>13</v>
      </c>
      <c r="AM29">
        <v>0.3611111111111111</v>
      </c>
      <c r="AO29">
        <v>10.3144596651446</v>
      </c>
    </row>
    <row r="30" spans="1:44" x14ac:dyDescent="0.25">
      <c r="A30" s="16" t="s">
        <v>11</v>
      </c>
      <c r="B30" s="33">
        <v>616</v>
      </c>
      <c r="C30" s="33">
        <v>119</v>
      </c>
      <c r="D30" s="166">
        <v>0.19318181818181818</v>
      </c>
      <c r="E30" s="166"/>
      <c r="F30" s="33">
        <v>630</v>
      </c>
      <c r="G30" s="33">
        <v>144</v>
      </c>
      <c r="H30" s="229">
        <v>0.22857142857142856</v>
      </c>
      <c r="I30" s="33">
        <v>115</v>
      </c>
      <c r="J30" s="166">
        <v>0.18253968253968253</v>
      </c>
      <c r="K30" s="166"/>
      <c r="L30" s="33">
        <v>653</v>
      </c>
      <c r="M30" s="33">
        <v>38</v>
      </c>
      <c r="N30" s="229">
        <v>5.8192955589586523E-2</v>
      </c>
      <c r="O30" s="33">
        <v>120</v>
      </c>
      <c r="P30" s="166">
        <v>0.18376722817764166</v>
      </c>
      <c r="Q30" s="166"/>
      <c r="R30" s="99">
        <v>602</v>
      </c>
      <c r="S30" s="99">
        <v>12</v>
      </c>
      <c r="T30" s="273">
        <f>S30/R30</f>
        <v>1.9933554817275746E-2</v>
      </c>
      <c r="U30" s="99">
        <v>120</v>
      </c>
      <c r="V30" s="273">
        <f t="shared" si="1"/>
        <v>0.19933554817275748</v>
      </c>
      <c r="W30" s="159" t="str">
        <f t="shared" si="0"/>
        <v>OK</v>
      </c>
      <c r="X30" t="s">
        <v>11</v>
      </c>
      <c r="Y30">
        <v>602</v>
      </c>
      <c r="AA30">
        <v>374</v>
      </c>
      <c r="AB30">
        <v>0.62126245847176076</v>
      </c>
      <c r="AD30">
        <v>14.188335684703972</v>
      </c>
      <c r="AF30">
        <v>12</v>
      </c>
      <c r="AG30" s="316">
        <v>1.9933554817275746E-2</v>
      </c>
      <c r="AI30">
        <v>120</v>
      </c>
      <c r="AJ30" s="316">
        <v>0.19933554817275748</v>
      </c>
      <c r="AL30">
        <v>63</v>
      </c>
      <c r="AM30">
        <v>0.52500000000000002</v>
      </c>
      <c r="AO30">
        <v>10.510251141552512</v>
      </c>
    </row>
    <row r="31" spans="1:44" x14ac:dyDescent="0.25">
      <c r="A31" s="16" t="s">
        <v>12</v>
      </c>
      <c r="B31" s="33">
        <v>6</v>
      </c>
      <c r="C31" s="33">
        <v>2</v>
      </c>
      <c r="D31" s="166">
        <v>0.33333333333333331</v>
      </c>
      <c r="E31" s="166"/>
      <c r="F31" s="33">
        <v>5</v>
      </c>
      <c r="G31" s="33"/>
      <c r="H31" s="229"/>
      <c r="I31" s="33">
        <v>2</v>
      </c>
      <c r="J31" s="166">
        <v>0.4</v>
      </c>
      <c r="K31" s="166"/>
      <c r="L31" s="33">
        <v>5</v>
      </c>
      <c r="M31" s="33"/>
      <c r="N31" s="229"/>
      <c r="O31" s="33">
        <v>2</v>
      </c>
      <c r="P31" s="166">
        <v>0.4</v>
      </c>
      <c r="Q31" s="166"/>
      <c r="R31" s="99">
        <v>5</v>
      </c>
      <c r="S31" s="99"/>
      <c r="T31" s="273"/>
      <c r="U31" s="99">
        <v>2</v>
      </c>
      <c r="V31" s="273">
        <f t="shared" si="1"/>
        <v>0.4</v>
      </c>
      <c r="W31" s="159" t="str">
        <f t="shared" si="0"/>
        <v>OK</v>
      </c>
      <c r="X31" t="s">
        <v>12</v>
      </c>
      <c r="Y31">
        <v>5</v>
      </c>
      <c r="AA31">
        <v>1</v>
      </c>
      <c r="AB31">
        <v>0.2</v>
      </c>
      <c r="AD31">
        <v>7.6597260273972578</v>
      </c>
      <c r="AI31">
        <v>2</v>
      </c>
      <c r="AJ31" s="316">
        <v>0.4</v>
      </c>
      <c r="AL31">
        <v>1</v>
      </c>
      <c r="AM31">
        <v>0.5</v>
      </c>
      <c r="AO31">
        <v>10.715068493150696</v>
      </c>
    </row>
    <row r="32" spans="1:44" x14ac:dyDescent="0.25">
      <c r="A32" s="16" t="s">
        <v>13</v>
      </c>
      <c r="B32" s="33">
        <v>27</v>
      </c>
      <c r="C32" s="33">
        <v>8</v>
      </c>
      <c r="D32" s="166">
        <v>0.29629629629629628</v>
      </c>
      <c r="E32" s="166"/>
      <c r="F32" s="33">
        <v>25</v>
      </c>
      <c r="G32" s="33">
        <v>22</v>
      </c>
      <c r="H32" s="229">
        <v>0.88</v>
      </c>
      <c r="I32" s="33">
        <v>8</v>
      </c>
      <c r="J32" s="166">
        <v>0.32</v>
      </c>
      <c r="K32" s="166"/>
      <c r="L32" s="33">
        <v>29</v>
      </c>
      <c r="M32" s="33">
        <v>5</v>
      </c>
      <c r="N32" s="229">
        <v>0.17241379310344829</v>
      </c>
      <c r="O32" s="33">
        <v>9</v>
      </c>
      <c r="P32" s="166">
        <v>0.31034482758620691</v>
      </c>
      <c r="Q32" s="166"/>
      <c r="R32" s="99">
        <v>25</v>
      </c>
      <c r="S32" s="99"/>
      <c r="T32" s="273"/>
      <c r="U32" s="99">
        <v>5</v>
      </c>
      <c r="V32" s="273">
        <f t="shared" si="1"/>
        <v>0.2</v>
      </c>
      <c r="W32" s="159" t="str">
        <f t="shared" si="0"/>
        <v>OK</v>
      </c>
      <c r="X32" t="s">
        <v>13</v>
      </c>
      <c r="Y32">
        <v>25</v>
      </c>
      <c r="AA32">
        <v>1</v>
      </c>
      <c r="AB32">
        <v>0.04</v>
      </c>
      <c r="AD32">
        <v>4.4581917808219194</v>
      </c>
      <c r="AI32">
        <v>5</v>
      </c>
      <c r="AJ32" s="316">
        <v>0.2</v>
      </c>
      <c r="AO32">
        <v>6.0065753424657551</v>
      </c>
    </row>
    <row r="33" spans="1:44" x14ac:dyDescent="0.25">
      <c r="A33" s="16" t="s">
        <v>14</v>
      </c>
      <c r="B33" s="33">
        <v>133</v>
      </c>
      <c r="C33" s="33">
        <v>54</v>
      </c>
      <c r="D33" s="166">
        <v>0.40601503759398494</v>
      </c>
      <c r="E33" s="166"/>
      <c r="F33" s="33">
        <v>137</v>
      </c>
      <c r="G33" s="33">
        <v>1</v>
      </c>
      <c r="H33" s="229">
        <v>7.2992700729927005E-3</v>
      </c>
      <c r="I33" s="33">
        <v>42</v>
      </c>
      <c r="J33" s="166">
        <v>0.30656934306569344</v>
      </c>
      <c r="K33" s="166"/>
      <c r="L33" s="33">
        <v>116</v>
      </c>
      <c r="M33" s="33"/>
      <c r="N33" s="229"/>
      <c r="O33" s="33">
        <v>27</v>
      </c>
      <c r="P33" s="166">
        <v>0.23275862068965517</v>
      </c>
      <c r="Q33" s="166"/>
      <c r="R33" s="99">
        <v>106</v>
      </c>
      <c r="S33" s="99"/>
      <c r="T33" s="273"/>
      <c r="U33" s="99">
        <v>21</v>
      </c>
      <c r="V33" s="273">
        <f t="shared" si="1"/>
        <v>0.19811320754716982</v>
      </c>
      <c r="W33" s="159" t="str">
        <f t="shared" si="0"/>
        <v>OK</v>
      </c>
      <c r="X33" t="s">
        <v>14</v>
      </c>
      <c r="Y33">
        <v>106</v>
      </c>
      <c r="AA33">
        <v>48</v>
      </c>
      <c r="AB33">
        <v>0.45283018867924529</v>
      </c>
      <c r="AD33">
        <v>10.89087619539932</v>
      </c>
      <c r="AI33">
        <v>21</v>
      </c>
      <c r="AJ33" s="316">
        <v>0.19811320754716982</v>
      </c>
      <c r="AL33">
        <v>9</v>
      </c>
      <c r="AM33">
        <v>0.42857142857142855</v>
      </c>
      <c r="AO33">
        <v>8.7953033268101777</v>
      </c>
    </row>
    <row r="34" spans="1:44" x14ac:dyDescent="0.25">
      <c r="A34" s="16" t="s">
        <v>15</v>
      </c>
      <c r="B34" s="33">
        <v>179</v>
      </c>
      <c r="C34" s="33"/>
      <c r="D34" s="166"/>
      <c r="E34" s="166"/>
      <c r="F34" s="33">
        <v>212</v>
      </c>
      <c r="G34" s="33">
        <v>47</v>
      </c>
      <c r="H34" s="229">
        <v>0.22169811320754718</v>
      </c>
      <c r="I34" s="33"/>
      <c r="J34" s="166"/>
      <c r="K34" s="166"/>
      <c r="L34" s="33">
        <v>222</v>
      </c>
      <c r="M34" s="33">
        <v>14</v>
      </c>
      <c r="N34" s="229">
        <v>6.3063063063063057E-2</v>
      </c>
      <c r="O34" s="33"/>
      <c r="P34" s="166"/>
      <c r="Q34" s="166"/>
      <c r="R34" s="99">
        <v>225</v>
      </c>
      <c r="S34" s="99">
        <v>14</v>
      </c>
      <c r="T34" s="273">
        <f>S34/R34</f>
        <v>6.222222222222222E-2</v>
      </c>
      <c r="U34" s="99"/>
      <c r="V34" s="273"/>
      <c r="W34" s="159" t="str">
        <f t="shared" si="0"/>
        <v>OK</v>
      </c>
      <c r="X34" t="s">
        <v>15</v>
      </c>
      <c r="Y34">
        <v>225</v>
      </c>
      <c r="AA34">
        <v>94</v>
      </c>
      <c r="AB34">
        <v>0.4177777777777778</v>
      </c>
      <c r="AD34">
        <v>12.71564079147641</v>
      </c>
      <c r="AF34">
        <v>14</v>
      </c>
      <c r="AG34" s="316">
        <v>6.222222222222222E-2</v>
      </c>
    </row>
    <row r="35" spans="1:44" x14ac:dyDescent="0.25">
      <c r="A35" s="16" t="s">
        <v>16</v>
      </c>
      <c r="B35" s="33">
        <v>27</v>
      </c>
      <c r="C35" s="33">
        <v>2</v>
      </c>
      <c r="D35" s="166">
        <v>7.407407407407407E-2</v>
      </c>
      <c r="E35" s="166"/>
      <c r="F35" s="33">
        <v>27</v>
      </c>
      <c r="G35" s="33">
        <v>2</v>
      </c>
      <c r="H35" s="229">
        <v>7.407407407407407E-2</v>
      </c>
      <c r="I35" s="33">
        <v>4</v>
      </c>
      <c r="J35" s="166">
        <v>0.14814814814814814</v>
      </c>
      <c r="K35" s="166"/>
      <c r="L35" s="33">
        <v>28</v>
      </c>
      <c r="M35" s="33">
        <v>2</v>
      </c>
      <c r="N35" s="229">
        <v>7.1428571428571425E-2</v>
      </c>
      <c r="O35" s="33">
        <v>4</v>
      </c>
      <c r="P35" s="166">
        <v>0.14285714285714285</v>
      </c>
      <c r="Q35" s="166"/>
      <c r="R35" s="99">
        <v>28</v>
      </c>
      <c r="S35" s="99"/>
      <c r="T35" s="273"/>
      <c r="U35" s="99">
        <v>4</v>
      </c>
      <c r="V35" s="273">
        <f>U35/R35</f>
        <v>0.14285714285714285</v>
      </c>
      <c r="W35" s="159" t="str">
        <f t="shared" si="0"/>
        <v>OK</v>
      </c>
      <c r="X35" t="s">
        <v>16</v>
      </c>
      <c r="Y35">
        <v>28</v>
      </c>
      <c r="AA35">
        <v>15</v>
      </c>
      <c r="AB35">
        <v>0.5357142857142857</v>
      </c>
      <c r="AD35">
        <v>11.143542074363996</v>
      </c>
      <c r="AI35">
        <v>4</v>
      </c>
      <c r="AJ35" s="316">
        <v>0.14285714285714285</v>
      </c>
      <c r="AL35">
        <v>3</v>
      </c>
      <c r="AM35">
        <v>0.75</v>
      </c>
      <c r="AO35">
        <v>11.43561643835619</v>
      </c>
    </row>
    <row r="36" spans="1:44" x14ac:dyDescent="0.25">
      <c r="A36" s="16" t="s">
        <v>17</v>
      </c>
      <c r="B36" s="33">
        <v>548</v>
      </c>
      <c r="C36" s="33">
        <v>363</v>
      </c>
      <c r="D36" s="166">
        <v>0.66240875912408759</v>
      </c>
      <c r="E36" s="166"/>
      <c r="F36" s="33">
        <v>564</v>
      </c>
      <c r="G36" s="33">
        <v>72</v>
      </c>
      <c r="H36" s="229">
        <v>0.1276595744680851</v>
      </c>
      <c r="I36" s="33">
        <v>363</v>
      </c>
      <c r="J36" s="166">
        <v>0.6436170212765957</v>
      </c>
      <c r="K36" s="166"/>
      <c r="L36" s="33">
        <v>583</v>
      </c>
      <c r="M36" s="33">
        <v>2</v>
      </c>
      <c r="N36" s="229">
        <v>3.4305317324185248E-3</v>
      </c>
      <c r="O36" s="33">
        <v>363</v>
      </c>
      <c r="P36" s="166">
        <v>0.62264150943396224</v>
      </c>
      <c r="Q36" s="166"/>
      <c r="R36" s="99">
        <v>569</v>
      </c>
      <c r="S36" s="99">
        <v>2</v>
      </c>
      <c r="T36" s="273">
        <f>S36/R36</f>
        <v>3.5149384885764497E-3</v>
      </c>
      <c r="U36" s="99">
        <v>349</v>
      </c>
      <c r="V36" s="273">
        <f>U36/R36</f>
        <v>0.61335676625659052</v>
      </c>
      <c r="W36" s="159" t="str">
        <f t="shared" si="0"/>
        <v>OK</v>
      </c>
      <c r="X36" t="s">
        <v>17</v>
      </c>
      <c r="Y36">
        <v>569</v>
      </c>
      <c r="AA36">
        <v>211</v>
      </c>
      <c r="AB36">
        <v>0.37082601054481545</v>
      </c>
      <c r="AD36">
        <v>9.3120109781640608</v>
      </c>
      <c r="AF36">
        <v>2</v>
      </c>
      <c r="AG36" s="316">
        <v>3.5149384885764497E-3</v>
      </c>
      <c r="AI36">
        <v>349</v>
      </c>
      <c r="AJ36" s="316">
        <v>0.61335676625659052</v>
      </c>
      <c r="AL36">
        <v>104</v>
      </c>
      <c r="AM36">
        <v>0.29799426934097423</v>
      </c>
      <c r="AO36">
        <v>8.2436707618636369</v>
      </c>
      <c r="AQ36">
        <v>1</v>
      </c>
      <c r="AR36">
        <v>1.7543859649122807E-3</v>
      </c>
    </row>
    <row r="37" spans="1:44" x14ac:dyDescent="0.25">
      <c r="A37" s="16" t="s">
        <v>18</v>
      </c>
      <c r="B37" s="33">
        <v>7</v>
      </c>
      <c r="C37" s="33"/>
      <c r="D37" s="166"/>
      <c r="E37" s="166"/>
      <c r="F37" s="33">
        <v>6</v>
      </c>
      <c r="G37" s="33">
        <v>6</v>
      </c>
      <c r="H37" s="229">
        <v>1</v>
      </c>
      <c r="I37" s="33"/>
      <c r="J37" s="166"/>
      <c r="K37" s="166"/>
      <c r="L37" s="33">
        <v>6</v>
      </c>
      <c r="M37" s="33"/>
      <c r="N37" s="229"/>
      <c r="O37" s="33"/>
      <c r="P37" s="166"/>
      <c r="Q37" s="166"/>
      <c r="R37" s="99">
        <v>22</v>
      </c>
      <c r="S37" s="99"/>
      <c r="T37" s="273"/>
      <c r="U37" s="99"/>
      <c r="V37" s="273"/>
      <c r="W37" s="159" t="str">
        <f t="shared" si="0"/>
        <v>OK</v>
      </c>
      <c r="X37" t="s">
        <v>18</v>
      </c>
      <c r="Y37">
        <v>22</v>
      </c>
      <c r="AB37">
        <v>0</v>
      </c>
      <c r="AD37">
        <v>1.5379825653798258</v>
      </c>
    </row>
    <row r="38" spans="1:44" x14ac:dyDescent="0.25">
      <c r="A38" s="16" t="s">
        <v>360</v>
      </c>
      <c r="B38" s="33"/>
      <c r="C38" s="33"/>
      <c r="D38" s="166"/>
      <c r="E38" s="166"/>
      <c r="F38" s="33">
        <v>7</v>
      </c>
      <c r="G38" s="33">
        <v>5</v>
      </c>
      <c r="H38" s="229">
        <v>0.7142857142857143</v>
      </c>
      <c r="I38" s="33"/>
      <c r="J38" s="166"/>
      <c r="K38" s="166"/>
      <c r="L38" s="33">
        <v>7</v>
      </c>
      <c r="M38" s="33"/>
      <c r="N38" s="229"/>
      <c r="O38" s="33"/>
      <c r="P38" s="166"/>
      <c r="Q38" s="166"/>
      <c r="R38" s="99">
        <v>7</v>
      </c>
      <c r="S38" s="99"/>
      <c r="T38" s="273"/>
      <c r="U38" s="99"/>
      <c r="V38" s="273"/>
      <c r="W38" s="159" t="str">
        <f t="shared" si="0"/>
        <v>No</v>
      </c>
      <c r="X38" t="s">
        <v>30</v>
      </c>
      <c r="Y38">
        <v>7</v>
      </c>
      <c r="AA38">
        <v>1</v>
      </c>
      <c r="AB38">
        <v>0.14285714285714285</v>
      </c>
      <c r="AD38">
        <v>5.6911937377690736</v>
      </c>
    </row>
    <row r="39" spans="1:44" x14ac:dyDescent="0.25">
      <c r="A39" s="16" t="s">
        <v>19</v>
      </c>
      <c r="B39" s="33">
        <v>29</v>
      </c>
      <c r="C39" s="33"/>
      <c r="D39" s="166"/>
      <c r="E39" s="166"/>
      <c r="F39" s="33">
        <v>32</v>
      </c>
      <c r="G39" s="33">
        <v>3</v>
      </c>
      <c r="H39" s="229">
        <v>9.375E-2</v>
      </c>
      <c r="I39" s="33"/>
      <c r="J39" s="166"/>
      <c r="K39" s="166"/>
      <c r="L39" s="33">
        <v>36</v>
      </c>
      <c r="M39" s="33">
        <v>3</v>
      </c>
      <c r="N39" s="229">
        <v>8.3333333333333329E-2</v>
      </c>
      <c r="O39" s="33"/>
      <c r="P39" s="166"/>
      <c r="Q39" s="166"/>
      <c r="R39" s="99">
        <v>41</v>
      </c>
      <c r="S39" s="99">
        <v>1</v>
      </c>
      <c r="T39" s="273">
        <f>S39/R39</f>
        <v>2.4390243902439025E-2</v>
      </c>
      <c r="U39" s="99"/>
      <c r="V39" s="273"/>
      <c r="W39" s="159" t="str">
        <f t="shared" si="0"/>
        <v>OK</v>
      </c>
      <c r="X39" t="s">
        <v>19</v>
      </c>
      <c r="Y39">
        <v>41</v>
      </c>
      <c r="AA39">
        <v>18</v>
      </c>
      <c r="AB39">
        <v>0.43902439024390244</v>
      </c>
      <c r="AD39">
        <v>9.7659204811226221</v>
      </c>
      <c r="AF39">
        <v>1</v>
      </c>
      <c r="AG39" s="316">
        <v>2.4390243902439025E-2</v>
      </c>
    </row>
    <row r="40" spans="1:44" x14ac:dyDescent="0.25">
      <c r="A40" s="16" t="s">
        <v>385</v>
      </c>
      <c r="B40" s="33">
        <v>338</v>
      </c>
      <c r="C40" s="33">
        <v>183</v>
      </c>
      <c r="D40" s="166">
        <v>0.54142011834319526</v>
      </c>
      <c r="E40" s="166"/>
      <c r="F40" s="33">
        <v>361</v>
      </c>
      <c r="G40" s="33">
        <v>120</v>
      </c>
      <c r="H40" s="229">
        <v>0.33240997229916897</v>
      </c>
      <c r="I40" s="33">
        <v>227</v>
      </c>
      <c r="J40" s="166">
        <v>0.62880886426592797</v>
      </c>
      <c r="K40" s="166"/>
      <c r="L40" s="33">
        <v>152</v>
      </c>
      <c r="M40" s="33">
        <v>56</v>
      </c>
      <c r="N40" s="229">
        <v>0.36842105263157893</v>
      </c>
      <c r="O40" s="33">
        <v>69</v>
      </c>
      <c r="P40" s="166">
        <v>0.45394736842105265</v>
      </c>
      <c r="Q40" s="166"/>
      <c r="R40" s="99">
        <v>138</v>
      </c>
      <c r="S40" s="99">
        <v>57</v>
      </c>
      <c r="T40" s="273">
        <f>S40/R40</f>
        <v>0.41304347826086957</v>
      </c>
      <c r="U40" s="99">
        <v>65</v>
      </c>
      <c r="V40" s="273">
        <f>U40/R40</f>
        <v>0.47101449275362317</v>
      </c>
      <c r="W40" s="159" t="str">
        <f t="shared" si="0"/>
        <v>OK</v>
      </c>
      <c r="X40" t="s">
        <v>385</v>
      </c>
      <c r="Y40">
        <v>138</v>
      </c>
      <c r="AA40">
        <v>15</v>
      </c>
      <c r="AB40">
        <v>0.10869565217391304</v>
      </c>
      <c r="AD40">
        <v>5.2991860234266399</v>
      </c>
      <c r="AF40">
        <v>57</v>
      </c>
      <c r="AG40" s="316">
        <v>0.41304347826086957</v>
      </c>
      <c r="AI40">
        <v>65</v>
      </c>
      <c r="AJ40" s="316">
        <v>0.47101449275362317</v>
      </c>
      <c r="AO40">
        <v>4.1997471022128536</v>
      </c>
      <c r="AQ40">
        <v>47</v>
      </c>
      <c r="AR40">
        <v>0.33571428571428569</v>
      </c>
    </row>
    <row r="41" spans="1:44" x14ac:dyDescent="0.25">
      <c r="A41" s="16" t="s">
        <v>31</v>
      </c>
      <c r="B41" s="33">
        <v>2</v>
      </c>
      <c r="C41" s="33"/>
      <c r="D41" s="166"/>
      <c r="E41" s="166"/>
      <c r="F41" s="33">
        <v>4</v>
      </c>
      <c r="G41" s="33">
        <v>4</v>
      </c>
      <c r="H41" s="229">
        <v>1</v>
      </c>
      <c r="I41" s="33"/>
      <c r="J41" s="166"/>
      <c r="K41" s="166"/>
      <c r="L41" s="33">
        <v>4</v>
      </c>
      <c r="M41" s="33"/>
      <c r="N41" s="229"/>
      <c r="O41" s="33"/>
      <c r="P41" s="166"/>
      <c r="Q41" s="166"/>
      <c r="R41" s="99">
        <v>3</v>
      </c>
      <c r="S41" s="99"/>
      <c r="T41" s="273"/>
      <c r="U41" s="99"/>
      <c r="V41" s="273"/>
      <c r="W41" s="159" t="str">
        <f t="shared" si="0"/>
        <v>OK</v>
      </c>
      <c r="X41" t="s">
        <v>31</v>
      </c>
      <c r="Y41">
        <v>3</v>
      </c>
      <c r="AA41">
        <v>1</v>
      </c>
      <c r="AB41">
        <v>0.33333333333333331</v>
      </c>
      <c r="AD41">
        <v>5.3013698630137007</v>
      </c>
    </row>
    <row r="42" spans="1:44" x14ac:dyDescent="0.25">
      <c r="A42" s="16" t="s">
        <v>20</v>
      </c>
      <c r="B42" s="33">
        <v>177</v>
      </c>
      <c r="C42" s="33">
        <v>2</v>
      </c>
      <c r="D42" s="166">
        <v>1.1299435028248588E-2</v>
      </c>
      <c r="E42" s="166"/>
      <c r="F42" s="33">
        <v>165</v>
      </c>
      <c r="G42" s="33">
        <v>25</v>
      </c>
      <c r="H42" s="229">
        <v>0.15151515151515152</v>
      </c>
      <c r="I42" s="33">
        <v>2</v>
      </c>
      <c r="J42" s="166">
        <v>1.2121212121212121E-2</v>
      </c>
      <c r="K42" s="166"/>
      <c r="L42" s="33">
        <v>163</v>
      </c>
      <c r="M42" s="33">
        <v>23</v>
      </c>
      <c r="N42" s="229">
        <v>0.1411042944785276</v>
      </c>
      <c r="O42" s="33">
        <v>2</v>
      </c>
      <c r="P42" s="166">
        <v>1.2269938650306749E-2</v>
      </c>
      <c r="Q42" s="166"/>
      <c r="R42" s="99">
        <v>166</v>
      </c>
      <c r="S42" s="99"/>
      <c r="T42" s="273">
        <f>S42/R42</f>
        <v>0</v>
      </c>
      <c r="U42" s="99">
        <v>2</v>
      </c>
      <c r="V42" s="273">
        <f>U42/R42</f>
        <v>1.2048192771084338E-2</v>
      </c>
      <c r="W42" s="159" t="str">
        <f t="shared" si="0"/>
        <v>OK</v>
      </c>
      <c r="X42" t="s">
        <v>20</v>
      </c>
      <c r="Y42">
        <v>166</v>
      </c>
      <c r="AA42">
        <v>41</v>
      </c>
      <c r="AB42">
        <v>0.24698795180722891</v>
      </c>
      <c r="AD42">
        <v>7.9215877207459924</v>
      </c>
      <c r="AI42">
        <v>2</v>
      </c>
      <c r="AJ42" s="316">
        <v>1.2048192771084338E-2</v>
      </c>
      <c r="AL42">
        <v>2</v>
      </c>
      <c r="AM42">
        <v>1</v>
      </c>
      <c r="AO42">
        <v>14.16301369863015</v>
      </c>
    </row>
    <row r="43" spans="1:44" x14ac:dyDescent="0.25">
      <c r="A43" s="16" t="s">
        <v>42</v>
      </c>
      <c r="B43" s="33">
        <v>542</v>
      </c>
      <c r="C43" s="33">
        <v>86</v>
      </c>
      <c r="D43" s="166">
        <v>0.15867158671586715</v>
      </c>
      <c r="E43" s="166"/>
      <c r="F43" s="33">
        <v>545</v>
      </c>
      <c r="G43" s="33">
        <v>123</v>
      </c>
      <c r="H43" s="229">
        <v>0.22568807339449543</v>
      </c>
      <c r="I43" s="33">
        <v>88</v>
      </c>
      <c r="J43" s="166">
        <v>0.16146788990825689</v>
      </c>
      <c r="K43" s="166"/>
      <c r="L43" s="33">
        <v>576</v>
      </c>
      <c r="M43" s="33">
        <v>2</v>
      </c>
      <c r="N43" s="229">
        <v>3.472222222222222E-3</v>
      </c>
      <c r="O43" s="33">
        <v>92</v>
      </c>
      <c r="P43" s="166">
        <v>0.15972222222222221</v>
      </c>
      <c r="Q43" s="166"/>
      <c r="R43" s="99">
        <v>526</v>
      </c>
      <c r="S43" s="99"/>
      <c r="T43" s="273"/>
      <c r="U43" s="99">
        <v>80</v>
      </c>
      <c r="V43" s="273">
        <f>U43/R43</f>
        <v>0.15209125475285171</v>
      </c>
      <c r="W43" s="159" t="str">
        <f t="shared" si="0"/>
        <v>No</v>
      </c>
      <c r="X43" t="s">
        <v>374</v>
      </c>
      <c r="Y43">
        <v>526</v>
      </c>
      <c r="AA43">
        <v>210</v>
      </c>
      <c r="AB43">
        <v>0.39923954372623577</v>
      </c>
      <c r="AD43">
        <v>9.1384863794989517</v>
      </c>
      <c r="AI43">
        <v>80</v>
      </c>
      <c r="AJ43" s="316">
        <v>0.15209125475285171</v>
      </c>
      <c r="AL43">
        <v>44</v>
      </c>
      <c r="AM43">
        <v>0.55000000000000004</v>
      </c>
      <c r="AO43">
        <v>10.94099315068493</v>
      </c>
    </row>
    <row r="44" spans="1:44" x14ac:dyDescent="0.25">
      <c r="A44" s="16" t="s">
        <v>43</v>
      </c>
      <c r="B44" s="33">
        <v>573</v>
      </c>
      <c r="C44" s="33">
        <v>23</v>
      </c>
      <c r="D44" s="166">
        <v>4.0139616055846421E-2</v>
      </c>
      <c r="E44" s="166"/>
      <c r="F44" s="33">
        <v>604</v>
      </c>
      <c r="G44" s="33">
        <v>55</v>
      </c>
      <c r="H44" s="229">
        <v>9.1059602649006616E-2</v>
      </c>
      <c r="I44" s="33">
        <v>17</v>
      </c>
      <c r="J44" s="166">
        <v>2.8145695364238412E-2</v>
      </c>
      <c r="K44" s="166"/>
      <c r="L44" s="33">
        <v>631</v>
      </c>
      <c r="M44" s="33">
        <v>1</v>
      </c>
      <c r="N44" s="229">
        <v>1.5847860538827259E-3</v>
      </c>
      <c r="O44" s="33">
        <v>9</v>
      </c>
      <c r="P44" s="166">
        <v>1.4263074484944533E-2</v>
      </c>
      <c r="Q44" s="166"/>
      <c r="R44" s="99">
        <v>670</v>
      </c>
      <c r="S44" s="99"/>
      <c r="T44" s="273"/>
      <c r="U44" s="99">
        <v>8</v>
      </c>
      <c r="V44" s="273">
        <f>U44/R44</f>
        <v>1.1940298507462687E-2</v>
      </c>
      <c r="W44" s="159" t="str">
        <f t="shared" si="0"/>
        <v>No</v>
      </c>
      <c r="X44" t="s">
        <v>375</v>
      </c>
      <c r="Y44">
        <v>670</v>
      </c>
      <c r="AA44">
        <v>247</v>
      </c>
      <c r="AB44">
        <v>0.36865671641791042</v>
      </c>
      <c r="AD44">
        <v>9.0281292169290452</v>
      </c>
      <c r="AI44">
        <v>8</v>
      </c>
      <c r="AJ44" s="316">
        <v>1.1940298507462687E-2</v>
      </c>
      <c r="AL44">
        <v>4</v>
      </c>
      <c r="AM44">
        <v>0.5</v>
      </c>
      <c r="AO44">
        <v>9.4691780821917853</v>
      </c>
    </row>
    <row r="45" spans="1:44" x14ac:dyDescent="0.25">
      <c r="A45" s="16" t="s">
        <v>34</v>
      </c>
      <c r="B45" s="33"/>
      <c r="C45" s="33"/>
      <c r="D45" s="166"/>
      <c r="E45" s="166"/>
      <c r="F45" s="33"/>
      <c r="G45" s="33"/>
      <c r="H45" s="229"/>
      <c r="I45" s="33"/>
      <c r="J45" s="166"/>
      <c r="K45" s="166"/>
      <c r="L45" s="33"/>
      <c r="M45" s="33"/>
      <c r="N45" s="229"/>
      <c r="O45" s="33"/>
      <c r="P45" s="166"/>
      <c r="Q45" s="166"/>
      <c r="R45" s="99"/>
      <c r="S45" s="99"/>
      <c r="T45" s="273"/>
      <c r="U45" s="99"/>
      <c r="V45" s="273"/>
      <c r="W45" s="159" t="str">
        <f t="shared" si="0"/>
        <v>OK</v>
      </c>
      <c r="X45" t="s">
        <v>34</v>
      </c>
      <c r="AG45" s="316" t="e">
        <v>#DIV/0!</v>
      </c>
    </row>
    <row r="46" spans="1:44" x14ac:dyDescent="0.25">
      <c r="A46" s="16" t="s">
        <v>35</v>
      </c>
      <c r="B46" s="33"/>
      <c r="C46" s="33"/>
      <c r="D46" s="166"/>
      <c r="E46" s="166"/>
      <c r="F46" s="33"/>
      <c r="G46" s="33"/>
      <c r="H46" s="229"/>
      <c r="I46" s="33"/>
      <c r="J46" s="166"/>
      <c r="K46" s="166"/>
      <c r="L46" s="33">
        <v>1</v>
      </c>
      <c r="M46" s="33"/>
      <c r="N46" s="229"/>
      <c r="O46" s="33"/>
      <c r="P46" s="166"/>
      <c r="Q46" s="166"/>
      <c r="R46" s="99">
        <v>1</v>
      </c>
      <c r="S46" s="99"/>
      <c r="T46" s="273"/>
      <c r="U46" s="99"/>
      <c r="V46" s="273"/>
      <c r="W46" s="159" t="str">
        <f t="shared" si="0"/>
        <v>OK</v>
      </c>
      <c r="X46" t="s">
        <v>35</v>
      </c>
      <c r="Y46">
        <v>1</v>
      </c>
      <c r="AD46">
        <v>2.4767123287671202</v>
      </c>
    </row>
    <row r="47" spans="1:44" x14ac:dyDescent="0.25">
      <c r="A47" s="16" t="s">
        <v>386</v>
      </c>
      <c r="B47" s="33">
        <v>36</v>
      </c>
      <c r="C47" s="33">
        <v>4</v>
      </c>
      <c r="D47" s="166">
        <v>0.1111111111111111</v>
      </c>
      <c r="E47" s="166"/>
      <c r="F47" s="33">
        <v>45</v>
      </c>
      <c r="G47" s="33">
        <v>27</v>
      </c>
      <c r="H47" s="229">
        <v>0.6</v>
      </c>
      <c r="I47" s="33">
        <v>7</v>
      </c>
      <c r="J47" s="166">
        <v>0.15555555555555556</v>
      </c>
      <c r="K47" s="166"/>
      <c r="L47" s="33">
        <v>42</v>
      </c>
      <c r="M47" s="33"/>
      <c r="N47" s="229"/>
      <c r="O47" s="33">
        <v>7</v>
      </c>
      <c r="P47" s="166">
        <v>0.16666666666666666</v>
      </c>
      <c r="Q47" s="166"/>
      <c r="R47" s="99">
        <v>44</v>
      </c>
      <c r="S47" s="99"/>
      <c r="T47" s="273"/>
      <c r="U47" s="99">
        <v>7</v>
      </c>
      <c r="V47" s="273">
        <f>U47/R47</f>
        <v>0.15909090909090909</v>
      </c>
      <c r="W47" s="159" t="str">
        <f t="shared" si="0"/>
        <v>OK</v>
      </c>
      <c r="X47" t="s">
        <v>386</v>
      </c>
      <c r="Y47">
        <v>44</v>
      </c>
      <c r="AA47">
        <v>15</v>
      </c>
      <c r="AB47">
        <v>0.34090909090909088</v>
      </c>
      <c r="AD47">
        <v>8.4138231631382308</v>
      </c>
      <c r="AI47">
        <v>7</v>
      </c>
      <c r="AJ47" s="316">
        <v>0.15909090909090909</v>
      </c>
      <c r="AL47">
        <v>6</v>
      </c>
      <c r="AM47">
        <v>0.8571428571428571</v>
      </c>
      <c r="AO47">
        <v>14.221135029354206</v>
      </c>
    </row>
    <row r="48" spans="1:44" x14ac:dyDescent="0.25">
      <c r="A48" s="16" t="s">
        <v>36</v>
      </c>
      <c r="B48" s="33">
        <v>1</v>
      </c>
      <c r="C48" s="33"/>
      <c r="D48" s="166"/>
      <c r="E48" s="166"/>
      <c r="F48" s="33">
        <v>1</v>
      </c>
      <c r="G48" s="33"/>
      <c r="H48" s="229"/>
      <c r="I48" s="33"/>
      <c r="J48" s="166"/>
      <c r="K48" s="166"/>
      <c r="L48" s="33">
        <v>1</v>
      </c>
      <c r="M48" s="33"/>
      <c r="N48" s="229"/>
      <c r="O48" s="33"/>
      <c r="P48" s="166"/>
      <c r="Q48" s="166"/>
      <c r="R48" s="99">
        <v>1</v>
      </c>
      <c r="S48" s="99"/>
      <c r="T48" s="273"/>
      <c r="U48" s="99"/>
      <c r="V48" s="273"/>
      <c r="W48" s="159" t="str">
        <f t="shared" si="0"/>
        <v>OK</v>
      </c>
      <c r="X48" t="s">
        <v>36</v>
      </c>
      <c r="Y48">
        <v>1</v>
      </c>
      <c r="AA48">
        <v>1</v>
      </c>
      <c r="AB48">
        <v>1</v>
      </c>
      <c r="AD48">
        <v>16.202739726027399</v>
      </c>
    </row>
    <row r="49" spans="1:44" x14ac:dyDescent="0.25">
      <c r="A49" s="16" t="s">
        <v>38</v>
      </c>
      <c r="B49" s="33"/>
      <c r="C49" s="33"/>
      <c r="D49" s="166"/>
      <c r="E49" s="166"/>
      <c r="F49" s="33"/>
      <c r="G49" s="33"/>
      <c r="H49" s="229"/>
      <c r="I49" s="33"/>
      <c r="J49" s="166"/>
      <c r="K49" s="166"/>
      <c r="L49" s="33"/>
      <c r="M49" s="33"/>
      <c r="N49" s="229"/>
      <c r="O49" s="33"/>
      <c r="P49" s="166"/>
      <c r="Q49" s="166"/>
      <c r="R49" s="99"/>
      <c r="S49" s="99"/>
      <c r="T49" s="273"/>
      <c r="U49" s="99"/>
      <c r="V49" s="273"/>
      <c r="W49" s="159" t="str">
        <f t="shared" si="0"/>
        <v>OK</v>
      </c>
      <c r="X49" t="s">
        <v>38</v>
      </c>
      <c r="AG49" s="316" t="e">
        <v>#DIV/0!</v>
      </c>
      <c r="AJ49" s="316" t="e">
        <v>#DIV/0!</v>
      </c>
      <c r="AR49" t="e">
        <v>#DIV/0!</v>
      </c>
    </row>
    <row r="50" spans="1:44" x14ac:dyDescent="0.25">
      <c r="A50" s="16" t="s">
        <v>39</v>
      </c>
      <c r="B50" s="33">
        <v>1440</v>
      </c>
      <c r="C50" s="33">
        <v>4</v>
      </c>
      <c r="D50" s="166">
        <v>2.7777777777777779E-3</v>
      </c>
      <c r="E50" s="166"/>
      <c r="F50" s="33">
        <v>1482</v>
      </c>
      <c r="G50" s="33">
        <v>437</v>
      </c>
      <c r="H50" s="229">
        <v>0.29487179487179488</v>
      </c>
      <c r="I50" s="33">
        <v>3</v>
      </c>
      <c r="J50" s="166">
        <v>2.0242914979757085E-3</v>
      </c>
      <c r="K50" s="166"/>
      <c r="L50" s="33">
        <v>1677</v>
      </c>
      <c r="M50" s="33">
        <v>596</v>
      </c>
      <c r="N50" s="229">
        <v>0.35539654144305305</v>
      </c>
      <c r="O50" s="33"/>
      <c r="P50" s="166"/>
      <c r="Q50" s="166"/>
      <c r="R50" s="99">
        <v>1554</v>
      </c>
      <c r="S50" s="99">
        <v>19</v>
      </c>
      <c r="T50" s="273">
        <f>S50/R50</f>
        <v>1.2226512226512226E-2</v>
      </c>
      <c r="U50" s="99"/>
      <c r="V50" s="273"/>
      <c r="W50" s="159" t="str">
        <f t="shared" si="0"/>
        <v>OK</v>
      </c>
      <c r="X50" t="s">
        <v>39</v>
      </c>
      <c r="Y50">
        <v>1554</v>
      </c>
      <c r="AA50">
        <v>490</v>
      </c>
      <c r="AB50">
        <v>0.31531531531531531</v>
      </c>
      <c r="AD50">
        <v>7.6597098076550685</v>
      </c>
      <c r="AF50">
        <v>19</v>
      </c>
      <c r="AG50" s="316">
        <v>1.2226512226512226E-2</v>
      </c>
    </row>
    <row r="51" spans="1:44" x14ac:dyDescent="0.25">
      <c r="A51" s="16" t="s">
        <v>40</v>
      </c>
      <c r="B51" s="33">
        <v>414</v>
      </c>
      <c r="C51" s="33"/>
      <c r="D51" s="166"/>
      <c r="E51" s="166"/>
      <c r="F51" s="33">
        <v>459</v>
      </c>
      <c r="G51" s="33">
        <v>129</v>
      </c>
      <c r="H51" s="229">
        <v>0.28104575163398693</v>
      </c>
      <c r="I51" s="33"/>
      <c r="J51" s="166"/>
      <c r="K51" s="166"/>
      <c r="L51" s="33">
        <v>502</v>
      </c>
      <c r="M51" s="33">
        <v>128</v>
      </c>
      <c r="N51" s="229">
        <v>0.2549800796812749</v>
      </c>
      <c r="O51" s="33"/>
      <c r="P51" s="166"/>
      <c r="Q51" s="166"/>
      <c r="R51" s="99">
        <v>644</v>
      </c>
      <c r="S51" s="99">
        <v>74</v>
      </c>
      <c r="T51" s="273">
        <f>S51/R51</f>
        <v>0.11490683229813664</v>
      </c>
      <c r="U51" s="99"/>
      <c r="V51" s="273"/>
      <c r="W51" s="159" t="str">
        <f t="shared" si="0"/>
        <v>OK</v>
      </c>
      <c r="X51" t="s">
        <v>40</v>
      </c>
      <c r="Y51">
        <v>644</v>
      </c>
      <c r="AA51">
        <v>178</v>
      </c>
      <c r="AB51">
        <v>0.27639751552795033</v>
      </c>
      <c r="AD51">
        <v>8.1401854845571222</v>
      </c>
      <c r="AF51">
        <v>74</v>
      </c>
      <c r="AG51" s="316">
        <v>0.11490683229813664</v>
      </c>
    </row>
    <row r="52" spans="1:44" x14ac:dyDescent="0.25">
      <c r="A52" s="16"/>
      <c r="B52" s="33"/>
      <c r="C52" s="33"/>
      <c r="D52" s="167"/>
      <c r="E52" s="34"/>
      <c r="F52" s="33"/>
      <c r="G52" s="33"/>
      <c r="H52" s="33"/>
      <c r="I52" s="33"/>
      <c r="J52" s="167"/>
      <c r="K52" s="34"/>
      <c r="L52" s="33"/>
      <c r="M52" s="33"/>
      <c r="N52" s="33"/>
      <c r="O52" s="33"/>
      <c r="P52" s="167"/>
      <c r="Q52" s="34"/>
      <c r="R52" s="33"/>
      <c r="S52" s="33"/>
      <c r="T52" s="34"/>
      <c r="U52" s="33"/>
      <c r="V52" s="167"/>
    </row>
    <row r="53" spans="1:44" ht="15.75" thickBot="1" x14ac:dyDescent="0.3">
      <c r="A53" s="25" t="s">
        <v>123</v>
      </c>
      <c r="B53" s="28">
        <v>22592</v>
      </c>
      <c r="C53" s="28">
        <v>5601</v>
      </c>
      <c r="D53" s="168">
        <v>0.24791961756373937</v>
      </c>
      <c r="E53" s="311"/>
      <c r="F53" s="28">
        <v>24040</v>
      </c>
      <c r="G53" s="28">
        <v>7336</v>
      </c>
      <c r="H53" s="230">
        <v>0.30515806988352745</v>
      </c>
      <c r="I53" s="28">
        <v>5746</v>
      </c>
      <c r="J53" s="168">
        <v>0.23901830282861897</v>
      </c>
      <c r="K53" s="311"/>
      <c r="L53" s="28">
        <v>25474</v>
      </c>
      <c r="M53" s="28">
        <v>2985</v>
      </c>
      <c r="N53" s="230">
        <v>0.1171782994425689</v>
      </c>
      <c r="O53" s="28">
        <v>5955</v>
      </c>
      <c r="P53" s="168">
        <v>0.23376776320954698</v>
      </c>
      <c r="Q53" s="311"/>
      <c r="R53" s="98">
        <f>SUM(R6:R51)</f>
        <v>25931</v>
      </c>
      <c r="S53" s="98">
        <f>SUM(S6:S51)</f>
        <v>1103</v>
      </c>
      <c r="T53" s="170">
        <f>S53/R53</f>
        <v>4.2535960819096837E-2</v>
      </c>
      <c r="U53" s="98">
        <f>SUM(U6:U51)</f>
        <v>6006</v>
      </c>
      <c r="V53" s="170">
        <f>U53/R53</f>
        <v>0.23161466970035866</v>
      </c>
      <c r="Y53">
        <f>SUM(Y6:Y51)</f>
        <v>25931</v>
      </c>
      <c r="AF53">
        <f>SUM(AF6:AF51)</f>
        <v>1103</v>
      </c>
      <c r="AG53" s="316">
        <f>AF53/Y53</f>
        <v>4.2535960819096837E-2</v>
      </c>
      <c r="AI53">
        <f>SUM(AI6:AI51)</f>
        <v>6006</v>
      </c>
      <c r="AJ53" s="316">
        <f>AI53/Y53</f>
        <v>0.23161466970035866</v>
      </c>
    </row>
    <row r="54" spans="1:44" ht="15.75" thickTop="1" x14ac:dyDescent="0.25"/>
  </sheetData>
  <sortState ref="A7:AB51">
    <sortCondition ref="A6"/>
  </sortState>
  <mergeCells count="2">
    <mergeCell ref="Y3:AH3"/>
    <mergeCell ref="AI3:AR3"/>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N118"/>
  <sheetViews>
    <sheetView showGridLines="0" zoomScaleNormal="100" workbookViewId="0">
      <pane xSplit="1" ySplit="15" topLeftCell="B16" activePane="bottomRight" state="frozen"/>
      <selection pane="topRight" activeCell="B1" sqref="B1"/>
      <selection pane="bottomLeft" activeCell="A16" sqref="A16"/>
      <selection pane="bottomRight" activeCell="B3" sqref="B3:M4"/>
    </sheetView>
  </sheetViews>
  <sheetFormatPr defaultRowHeight="30" customHeight="1" x14ac:dyDescent="0.25"/>
  <cols>
    <col min="1" max="1" width="1.85546875" style="175" customWidth="1"/>
    <col min="2" max="2" width="30.140625" style="175" customWidth="1"/>
    <col min="3" max="3" width="3" style="175" customWidth="1"/>
    <col min="4" max="4" width="30.140625" style="175" customWidth="1"/>
    <col min="5" max="5" width="3" style="175" customWidth="1"/>
    <col min="6" max="6" width="30.140625" style="175" customWidth="1"/>
    <col min="7" max="7" width="3" style="175" customWidth="1"/>
    <col min="8" max="8" width="22.7109375" style="175" customWidth="1"/>
    <col min="9" max="9" width="8.140625" style="175" customWidth="1"/>
    <col min="10" max="10" width="3" style="175" customWidth="1"/>
    <col min="11" max="11" width="14" style="175" customWidth="1"/>
    <col min="12" max="12" width="2" style="175" customWidth="1"/>
    <col min="13" max="13" width="14" style="175" customWidth="1"/>
    <col min="14" max="14" width="1.85546875" style="175" customWidth="1"/>
    <col min="15" max="16384" width="9.140625" style="175"/>
  </cols>
  <sheetData>
    <row r="1" spans="2:14" ht="8.25" customHeight="1" thickBot="1" x14ac:dyDescent="0.45">
      <c r="C1" s="192"/>
      <c r="D1" s="192"/>
      <c r="E1" s="192"/>
      <c r="F1" s="192"/>
      <c r="G1" s="192"/>
      <c r="H1" s="192"/>
      <c r="J1" s="192"/>
      <c r="K1" s="192"/>
      <c r="L1" s="174"/>
      <c r="M1" s="174"/>
    </row>
    <row r="2" spans="2:14" ht="38.25" customHeight="1" thickBot="1" x14ac:dyDescent="0.45">
      <c r="B2" s="193" t="s">
        <v>321</v>
      </c>
      <c r="C2" s="192"/>
      <c r="D2" s="192"/>
      <c r="E2" s="192"/>
      <c r="F2" s="192"/>
      <c r="G2" s="192"/>
      <c r="H2" s="192"/>
      <c r="J2" s="360" t="s">
        <v>347</v>
      </c>
      <c r="K2" s="360"/>
      <c r="L2" s="360">
        <v>2020</v>
      </c>
      <c r="M2" s="360"/>
    </row>
    <row r="3" spans="2:14" ht="21.75" customHeight="1" x14ac:dyDescent="0.25">
      <c r="B3" s="361" t="str">
        <f>'Home Page'!B4</f>
        <v>Vice President for Student Life</v>
      </c>
      <c r="C3" s="361"/>
      <c r="D3" s="361"/>
      <c r="E3" s="361"/>
      <c r="F3" s="361"/>
      <c r="G3" s="361"/>
      <c r="H3" s="361"/>
      <c r="I3" s="361"/>
      <c r="J3" s="361"/>
      <c r="K3" s="361"/>
      <c r="L3" s="361"/>
      <c r="M3" s="361"/>
    </row>
    <row r="4" spans="2:14" ht="6.75" customHeight="1" thickBot="1" x14ac:dyDescent="0.3">
      <c r="B4" s="362"/>
      <c r="C4" s="362"/>
      <c r="D4" s="362"/>
      <c r="E4" s="362"/>
      <c r="F4" s="362"/>
      <c r="G4" s="362"/>
      <c r="H4" s="362"/>
      <c r="I4" s="362"/>
      <c r="J4" s="362"/>
      <c r="K4" s="362"/>
      <c r="L4" s="362"/>
      <c r="M4" s="362"/>
    </row>
    <row r="5" spans="2:14" ht="24" customHeight="1" thickBot="1" x14ac:dyDescent="0.3">
      <c r="B5" s="363" t="s">
        <v>248</v>
      </c>
      <c r="C5" s="363"/>
      <c r="D5" s="420"/>
      <c r="E5" s="420"/>
      <c r="F5" s="420"/>
      <c r="G5" s="420"/>
      <c r="H5" s="420"/>
      <c r="I5" s="420"/>
      <c r="J5" s="420"/>
      <c r="K5" s="420"/>
      <c r="L5" s="420"/>
      <c r="M5" s="420"/>
    </row>
    <row r="6" spans="2:14" s="178" customFormat="1" ht="18.75" customHeight="1" thickBot="1" x14ac:dyDescent="0.3">
      <c r="B6" s="176"/>
      <c r="C6" s="176"/>
      <c r="D6" s="177"/>
      <c r="E6" s="176"/>
      <c r="F6" s="176"/>
      <c r="G6" s="176"/>
      <c r="H6" s="176"/>
      <c r="J6" s="176"/>
      <c r="K6" s="364"/>
      <c r="L6" s="364"/>
      <c r="M6" s="364"/>
    </row>
    <row r="7" spans="2:14" s="242" customFormat="1" ht="28.5" customHeight="1" x14ac:dyDescent="0.25">
      <c r="B7" s="260" t="s">
        <v>345</v>
      </c>
      <c r="C7" s="261"/>
      <c r="D7" s="260" t="s">
        <v>343</v>
      </c>
      <c r="E7" s="261"/>
      <c r="F7" s="260" t="s">
        <v>344</v>
      </c>
      <c r="G7" s="261"/>
      <c r="H7" s="377" t="s">
        <v>346</v>
      </c>
      <c r="I7" s="378"/>
      <c r="J7" s="261"/>
      <c r="K7" s="365" t="str">
        <f>Calculations!B12</f>
        <v>Total Assets #</v>
      </c>
      <c r="L7" s="366"/>
      <c r="M7" s="367"/>
      <c r="N7" s="262"/>
    </row>
    <row r="8" spans="2:14" ht="42" customHeight="1" x14ac:dyDescent="0.25">
      <c r="B8" s="220">
        <f ca="1">IFERROR(Calculations!G8,"")</f>
        <v>737.61124000000052</v>
      </c>
      <c r="C8" s="179"/>
      <c r="D8" s="220">
        <f ca="1">IFERROR(Calculations!G9,"")</f>
        <v>96.481699999999961</v>
      </c>
      <c r="E8" s="174"/>
      <c r="F8" s="220">
        <f ca="1">IFERROR(Calculations!G10,"")</f>
        <v>6432.9769400000005</v>
      </c>
      <c r="G8" s="174"/>
      <c r="H8" s="379">
        <f ca="1">IFERROR(Calculations!G11,"")</f>
        <v>8041.8177400000022</v>
      </c>
      <c r="I8" s="380"/>
      <c r="J8" s="180"/>
      <c r="K8" s="368">
        <f ca="1">IFERROR(Calculations!G12,"")</f>
        <v>644</v>
      </c>
      <c r="L8" s="369"/>
      <c r="M8" s="370"/>
    </row>
    <row r="9" spans="2:14" s="187" customFormat="1" ht="18.75" customHeight="1" x14ac:dyDescent="0.25">
      <c r="B9" s="181">
        <f ca="1">Calculations!H8</f>
        <v>9.2599248967965009E-2</v>
      </c>
      <c r="C9" s="182"/>
      <c r="D9" s="183">
        <f ca="1">Calculations!H9</f>
        <v>-0.42315823433090305</v>
      </c>
      <c r="E9" s="184"/>
      <c r="F9" s="183">
        <f ca="1">Calculations!H10</f>
        <v>-0.35931392695133524</v>
      </c>
      <c r="G9" s="184"/>
      <c r="H9" s="381">
        <f ca="1">Calculations!H11</f>
        <v>0.19876070496180342</v>
      </c>
      <c r="I9" s="382"/>
      <c r="J9" s="185"/>
      <c r="K9" s="371">
        <f ca="1">Calculations!H12</f>
        <v>0.28286852589641431</v>
      </c>
      <c r="L9" s="372"/>
      <c r="M9" s="373"/>
      <c r="N9" s="186"/>
    </row>
    <row r="10" spans="2:14" ht="30" customHeight="1" x14ac:dyDescent="0.2">
      <c r="B10" s="188"/>
      <c r="C10" s="189"/>
      <c r="D10" s="188"/>
      <c r="E10" s="189"/>
      <c r="F10" s="188"/>
      <c r="G10" s="189"/>
      <c r="H10" s="383"/>
      <c r="I10" s="384"/>
      <c r="J10" s="239"/>
      <c r="K10" s="374"/>
      <c r="L10" s="375"/>
      <c r="M10" s="376"/>
      <c r="N10" s="190"/>
    </row>
    <row r="11" spans="2:14" ht="4.5" customHeight="1" thickBot="1" x14ac:dyDescent="0.3">
      <c r="B11" s="191"/>
      <c r="C11" s="174"/>
      <c r="D11" s="191"/>
      <c r="E11" s="174"/>
      <c r="F11" s="191"/>
      <c r="G11" s="174"/>
      <c r="H11" s="385"/>
      <c r="I11" s="386"/>
      <c r="J11" s="174"/>
      <c r="K11" s="357"/>
      <c r="L11" s="358"/>
      <c r="M11" s="359"/>
    </row>
    <row r="12" spans="2:14" ht="18.75" customHeight="1" thickBot="1" x14ac:dyDescent="0.3">
      <c r="B12" s="174"/>
      <c r="C12" s="174"/>
      <c r="D12" s="174"/>
      <c r="E12" s="174"/>
      <c r="F12" s="174"/>
      <c r="G12" s="174"/>
      <c r="H12" s="174"/>
      <c r="J12" s="174"/>
      <c r="K12" s="174"/>
      <c r="L12" s="174"/>
      <c r="M12" s="174"/>
    </row>
    <row r="13" spans="2:14" ht="24" customHeight="1" thickBot="1" x14ac:dyDescent="0.3">
      <c r="B13" s="356" t="s">
        <v>249</v>
      </c>
      <c r="C13" s="356"/>
      <c r="D13" s="421"/>
      <c r="E13" s="421"/>
      <c r="F13" s="421"/>
      <c r="G13" s="421"/>
      <c r="H13" s="421"/>
      <c r="I13" s="421"/>
      <c r="J13" s="421"/>
      <c r="K13" s="421"/>
      <c r="L13" s="421"/>
      <c r="M13" s="421"/>
    </row>
    <row r="14" spans="2:14" ht="18.75" customHeight="1" x14ac:dyDescent="0.25">
      <c r="B14" s="352"/>
      <c r="C14" s="352"/>
      <c r="D14" s="352"/>
      <c r="E14" s="352"/>
      <c r="F14" s="352"/>
      <c r="G14" s="352"/>
      <c r="H14" s="352"/>
      <c r="I14" s="352"/>
      <c r="J14" s="352"/>
      <c r="K14" s="352"/>
      <c r="L14" s="352"/>
      <c r="M14" s="352"/>
    </row>
    <row r="15" spans="2:14" s="242" customFormat="1" ht="18.75" customHeight="1" x14ac:dyDescent="0.25">
      <c r="B15" s="353" t="s">
        <v>250</v>
      </c>
      <c r="C15" s="353"/>
      <c r="D15" s="259" t="str">
        <f>"FISCAL YEAR ("&amp;SelectedYear&amp;")"</f>
        <v>FISCAL YEAR (2020)</v>
      </c>
      <c r="E15" s="354" t="str">
        <f>"PREVIOUS FISCAL YEAR ("&amp;SelectedYear-1&amp;")"</f>
        <v>PREVIOUS FISCAL YEAR (2019)</v>
      </c>
      <c r="F15" s="354"/>
      <c r="G15" s="354"/>
      <c r="H15" s="259" t="s">
        <v>260</v>
      </c>
      <c r="I15" s="259"/>
      <c r="J15" s="355" t="str">
        <f ca="1">CONCATENATE(Years," YEAR TREND")</f>
        <v>5 YEAR TREND</v>
      </c>
      <c r="K15" s="355"/>
      <c r="L15" s="355"/>
      <c r="M15" s="355"/>
    </row>
    <row r="16" spans="2:14" ht="15.75" x14ac:dyDescent="0.25">
      <c r="B16" s="346" t="s">
        <v>265</v>
      </c>
      <c r="C16" s="346"/>
      <c r="D16" s="346"/>
      <c r="E16" s="346"/>
      <c r="F16" s="346"/>
      <c r="G16" s="346"/>
      <c r="H16" s="346"/>
      <c r="I16" s="346"/>
      <c r="J16" s="346"/>
      <c r="K16" s="346"/>
      <c r="L16" s="346"/>
      <c r="M16" s="346"/>
    </row>
    <row r="17" spans="2:13" ht="15.75" x14ac:dyDescent="0.25">
      <c r="B17" s="241" t="s">
        <v>210</v>
      </c>
      <c r="C17" s="242"/>
      <c r="D17" s="242"/>
      <c r="E17" s="242"/>
      <c r="F17" s="242"/>
      <c r="G17" s="242"/>
      <c r="H17" s="242"/>
      <c r="J17" s="242"/>
      <c r="K17" s="242"/>
      <c r="L17" s="242"/>
      <c r="M17" s="242"/>
    </row>
    <row r="18" spans="2:13" ht="30" customHeight="1" x14ac:dyDescent="0.25">
      <c r="B18" s="350" t="str">
        <f>Calculations!B21</f>
        <v>Total Paid $</v>
      </c>
      <c r="C18" s="350"/>
      <c r="D18" s="243">
        <f ca="1">IF($B18="","",Calculations!G21)</f>
        <v>81494.837350000031</v>
      </c>
      <c r="E18" s="351">
        <f ca="1">IF($B18="","",Calculations!F21)</f>
        <v>79474.313180000012</v>
      </c>
      <c r="F18" s="351"/>
      <c r="G18" s="351"/>
      <c r="H18" s="247">
        <f ca="1">IFERROR(D18-E18,"")</f>
        <v>2020.5241700000188</v>
      </c>
      <c r="I18" s="263"/>
      <c r="J18" s="342"/>
      <c r="K18" s="342"/>
      <c r="L18" s="342"/>
      <c r="M18" s="342"/>
    </row>
    <row r="19" spans="2:13" ht="30" customHeight="1" x14ac:dyDescent="0.25">
      <c r="B19" s="350" t="str">
        <f>Calculations!B22</f>
        <v>Total Transfers $</v>
      </c>
      <c r="C19" s="350"/>
      <c r="D19" s="243">
        <f ca="1">IF($B19="","",Calculations!G22)</f>
        <v>737.61124000000052</v>
      </c>
      <c r="E19" s="351">
        <f ca="1">IF($B19="","",Calculations!F22)</f>
        <v>675.09770000000003</v>
      </c>
      <c r="F19" s="351"/>
      <c r="G19" s="351"/>
      <c r="H19" s="247">
        <f ca="1">IFERROR(D19-E19,"")</f>
        <v>62.513540000000489</v>
      </c>
      <c r="I19" s="263"/>
      <c r="J19" s="342"/>
      <c r="K19" s="342"/>
      <c r="L19" s="342"/>
      <c r="M19" s="342"/>
    </row>
    <row r="20" spans="2:13" ht="30" customHeight="1" x14ac:dyDescent="0.25">
      <c r="B20" s="350" t="str">
        <f>Calculations!B24</f>
        <v>Total Transfers %</v>
      </c>
      <c r="C20" s="350"/>
      <c r="D20" s="245">
        <f ca="1">IF($B20="","",Calculations!G24)</f>
        <v>9.051018002921388E-3</v>
      </c>
      <c r="E20" s="341">
        <f ca="1">IF($B20="","",Calculations!F24)</f>
        <v>8.4945395938305617E-3</v>
      </c>
      <c r="F20" s="341"/>
      <c r="G20" s="341"/>
      <c r="H20" s="246">
        <f ca="1">IFERROR(D20-E20,"")</f>
        <v>5.5647840909082633E-4</v>
      </c>
      <c r="J20" s="342"/>
      <c r="K20" s="342"/>
      <c r="L20" s="342"/>
      <c r="M20" s="342"/>
    </row>
    <row r="21" spans="2:13" ht="30" customHeight="1" x14ac:dyDescent="0.25">
      <c r="B21" s="349" t="str">
        <f>Calculations!B23</f>
        <v>Retro Salary Transfers &gt; 90 Days $</v>
      </c>
      <c r="C21" s="349"/>
      <c r="D21" s="243">
        <f ca="1">IF($B21="","",Calculations!G23)</f>
        <v>96.481699999999961</v>
      </c>
      <c r="E21" s="351">
        <f ca="1">IF($B21="","",Calculations!F23)</f>
        <v>167.25851999999998</v>
      </c>
      <c r="F21" s="351"/>
      <c r="G21" s="351"/>
      <c r="H21" s="247">
        <f ca="1">IFERROR(D21-E21,"")</f>
        <v>-70.776820000000015</v>
      </c>
      <c r="I21" s="263"/>
      <c r="J21" s="342"/>
      <c r="K21" s="342"/>
      <c r="L21" s="342"/>
      <c r="M21" s="342"/>
    </row>
    <row r="22" spans="2:13" ht="30" customHeight="1" x14ac:dyDescent="0.25">
      <c r="B22" s="349" t="str">
        <f>Calculations!B25</f>
        <v>Transfers &gt; 90 Days %</v>
      </c>
      <c r="C22" s="349"/>
      <c r="D22" s="245">
        <f ca="1">IF($B22="","",Calculations!G25)</f>
        <v>1.1838995344654179E-3</v>
      </c>
      <c r="E22" s="341">
        <f ca="1">IF($B22="","",Calculations!F25)</f>
        <v>2.1045607480894997E-3</v>
      </c>
      <c r="F22" s="341"/>
      <c r="G22" s="341"/>
      <c r="H22" s="248">
        <f ca="1">IFERROR(D22-E22,"")</f>
        <v>-9.2066121362408188E-4</v>
      </c>
      <c r="I22" s="265"/>
      <c r="J22" s="342"/>
      <c r="K22" s="342"/>
      <c r="L22" s="342"/>
      <c r="M22" s="342"/>
    </row>
    <row r="23" spans="2:13" ht="15.75" x14ac:dyDescent="0.25">
      <c r="B23" s="249" t="s">
        <v>134</v>
      </c>
      <c r="C23" s="242"/>
      <c r="D23" s="242"/>
      <c r="E23" s="242"/>
      <c r="F23" s="242"/>
      <c r="G23" s="242"/>
      <c r="H23" s="242"/>
      <c r="J23" s="242"/>
      <c r="K23" s="242"/>
      <c r="L23" s="242"/>
      <c r="M23" s="242"/>
    </row>
    <row r="24" spans="2:13" ht="30" customHeight="1" x14ac:dyDescent="0.25">
      <c r="B24" s="349" t="str">
        <f>Calculations!B26</f>
        <v>Total Paid $</v>
      </c>
      <c r="C24" s="349"/>
      <c r="D24" s="250">
        <f ca="1">IF($B24="","",Calculations!G26)</f>
        <v>143.0073100000001</v>
      </c>
      <c r="E24" s="345">
        <f ca="1">IF($B24="","",Calculations!F26)</f>
        <v>44.032240000000016</v>
      </c>
      <c r="F24" s="345"/>
      <c r="G24" s="345"/>
      <c r="H24" s="244">
        <f ca="1">IFERROR(D24-E24,"")</f>
        <v>98.975070000000088</v>
      </c>
      <c r="I24" s="265"/>
      <c r="J24" s="342"/>
      <c r="K24" s="342"/>
      <c r="L24" s="342"/>
      <c r="M24" s="342"/>
    </row>
    <row r="25" spans="2:13" ht="30" customHeight="1" x14ac:dyDescent="0.25">
      <c r="B25" s="349" t="str">
        <f>Calculations!B27</f>
        <v>Total Transfers $</v>
      </c>
      <c r="C25" s="349"/>
      <c r="D25" s="250">
        <f ca="1">IF($B25="","",Calculations!G27)</f>
        <v>18.705289999999998</v>
      </c>
      <c r="E25" s="345">
        <f ca="1">IF($B25="","",Calculations!F27)</f>
        <v>2.8926100000000003</v>
      </c>
      <c r="F25" s="345"/>
      <c r="G25" s="345"/>
      <c r="H25" s="244">
        <f ca="1">IFERROR(D25-E25,"")</f>
        <v>15.812679999999997</v>
      </c>
      <c r="I25" s="265"/>
      <c r="J25" s="342"/>
      <c r="K25" s="342"/>
      <c r="L25" s="342"/>
      <c r="M25" s="342"/>
    </row>
    <row r="26" spans="2:13" ht="30" customHeight="1" x14ac:dyDescent="0.25">
      <c r="B26" s="349" t="str">
        <f>Calculations!B29</f>
        <v>Total Transfers %</v>
      </c>
      <c r="C26" s="349"/>
      <c r="D26" s="245">
        <f ca="1">IF($B26="","",Calculations!G29)</f>
        <v>0.13079953745021833</v>
      </c>
      <c r="E26" s="341">
        <f ca="1">IF($B26="","",Calculations!F29)</f>
        <v>8.348890397452681E-2</v>
      </c>
      <c r="F26" s="341"/>
      <c r="G26" s="341"/>
      <c r="H26" s="266">
        <f ca="1">IFERROR(D26-E26,"")*100</f>
        <v>4.7310633475691519</v>
      </c>
      <c r="I26" s="267" t="s">
        <v>348</v>
      </c>
      <c r="J26" s="342"/>
      <c r="K26" s="342"/>
      <c r="L26" s="342"/>
      <c r="M26" s="342"/>
    </row>
    <row r="27" spans="2:13" ht="30" customHeight="1" x14ac:dyDescent="0.25">
      <c r="B27" s="349" t="str">
        <f>Calculations!B28</f>
        <v>Transfers After PG End Date $</v>
      </c>
      <c r="C27" s="349"/>
      <c r="D27" s="250">
        <f ca="1">IF($B27="","",Calculations!G28)</f>
        <v>0.36535000000000001</v>
      </c>
      <c r="E27" s="345">
        <f ca="1">IF($B27="","",Calculations!F28)</f>
        <v>0</v>
      </c>
      <c r="F27" s="345"/>
      <c r="G27" s="345"/>
      <c r="H27" s="247">
        <f ca="1">IFERROR(D27-E27,"")</f>
        <v>0.36535000000000001</v>
      </c>
      <c r="I27" s="265"/>
      <c r="J27" s="342"/>
      <c r="K27" s="342"/>
      <c r="L27" s="342"/>
      <c r="M27" s="342"/>
    </row>
    <row r="28" spans="2:13" ht="30" customHeight="1" x14ac:dyDescent="0.25">
      <c r="B28" s="349" t="str">
        <f>Calculations!B30</f>
        <v>Transfers After PG End Date %</v>
      </c>
      <c r="C28" s="349"/>
      <c r="D28" s="245">
        <f ca="1">IF($B28="","",Calculations!G30)</f>
        <v>2.5547645081919219E-3</v>
      </c>
      <c r="E28" s="341">
        <f ca="1">IF($B28="","",Calculations!F30)</f>
        <v>0</v>
      </c>
      <c r="F28" s="341"/>
      <c r="G28" s="341"/>
      <c r="H28" s="266">
        <f ca="1">IFERROR(D28-E28,"")*100</f>
        <v>0.25547645081919218</v>
      </c>
      <c r="I28" s="267" t="s">
        <v>348</v>
      </c>
      <c r="J28" s="342"/>
      <c r="K28" s="342"/>
      <c r="L28" s="342"/>
      <c r="M28" s="342"/>
    </row>
    <row r="29" spans="2:13" ht="15.75" x14ac:dyDescent="0.25">
      <c r="B29" s="249" t="s">
        <v>101</v>
      </c>
      <c r="C29" s="242"/>
      <c r="D29" s="242"/>
      <c r="E29" s="242"/>
      <c r="F29" s="242"/>
      <c r="G29" s="242"/>
      <c r="H29" s="242"/>
      <c r="J29" s="242"/>
      <c r="K29" s="242"/>
      <c r="L29" s="242"/>
      <c r="M29" s="242"/>
    </row>
    <row r="30" spans="2:13" ht="30" customHeight="1" x14ac:dyDescent="0.25">
      <c r="B30" s="349" t="str">
        <f>Calculations!B31</f>
        <v>Faculty/Staff Required to Certify #</v>
      </c>
      <c r="C30" s="349"/>
      <c r="D30" s="251">
        <f ca="1">IF($B30="","",Calculations!G31)</f>
        <v>0</v>
      </c>
      <c r="E30" s="343">
        <f ca="1">IF($B30="","",Calculations!F31)</f>
        <v>15</v>
      </c>
      <c r="F30" s="343"/>
      <c r="G30" s="343"/>
      <c r="H30" s="252">
        <f ca="1">IFERROR(D30-E30,"")</f>
        <v>-15</v>
      </c>
      <c r="I30" s="252"/>
      <c r="J30" s="342"/>
      <c r="K30" s="342"/>
      <c r="L30" s="342"/>
      <c r="M30" s="342"/>
    </row>
    <row r="31" spans="2:13" ht="30" customHeight="1" x14ac:dyDescent="0.25">
      <c r="B31" s="350" t="str">
        <f>Calculations!B32</f>
        <v>On-Time #</v>
      </c>
      <c r="C31" s="350"/>
      <c r="D31" s="251">
        <f ca="1">IF($B31="","",Calculations!G32)</f>
        <v>0</v>
      </c>
      <c r="E31" s="343">
        <f ca="1">IF($B31="","",Calculations!F32)</f>
        <v>15</v>
      </c>
      <c r="F31" s="343"/>
      <c r="G31" s="343"/>
      <c r="H31" s="265">
        <f ca="1">IFERROR(D31-E31,"")</f>
        <v>-15</v>
      </c>
      <c r="I31" s="265"/>
      <c r="J31" s="342"/>
      <c r="K31" s="342"/>
      <c r="L31" s="342"/>
      <c r="M31" s="342"/>
    </row>
    <row r="32" spans="2:13" ht="30" customHeight="1" x14ac:dyDescent="0.25">
      <c r="B32" s="350" t="str">
        <f>Calculations!B33</f>
        <v>On-Time %</v>
      </c>
      <c r="C32" s="350"/>
      <c r="D32" s="245" t="e">
        <f ca="1">IF($B32="","",Calculations!G33)</f>
        <v>#N/A</v>
      </c>
      <c r="E32" s="341">
        <f ca="1">IF($B32="","",Calculations!F33)</f>
        <v>1</v>
      </c>
      <c r="F32" s="341"/>
      <c r="G32" s="341"/>
      <c r="H32" s="266" t="e">
        <f ca="1">IFERROR(D32-E32,"")*100</f>
        <v>#VALUE!</v>
      </c>
      <c r="I32" s="267" t="s">
        <v>348</v>
      </c>
      <c r="J32" s="342"/>
      <c r="K32" s="342"/>
      <c r="L32" s="342"/>
      <c r="M32" s="342"/>
    </row>
    <row r="33" spans="2:13" ht="15.75" x14ac:dyDescent="0.25">
      <c r="B33" s="346" t="s">
        <v>275</v>
      </c>
      <c r="C33" s="346"/>
      <c r="D33" s="346"/>
      <c r="E33" s="346"/>
      <c r="F33" s="346"/>
      <c r="G33" s="346"/>
      <c r="H33" s="346"/>
      <c r="I33" s="346"/>
      <c r="J33" s="346"/>
      <c r="K33" s="346"/>
      <c r="L33" s="346"/>
      <c r="M33" s="346"/>
    </row>
    <row r="34" spans="2:13" ht="15.75" x14ac:dyDescent="0.25">
      <c r="B34" s="241" t="s">
        <v>202</v>
      </c>
      <c r="C34" s="242"/>
      <c r="D34" s="242"/>
      <c r="E34" s="242"/>
      <c r="F34" s="242"/>
      <c r="G34" s="242"/>
      <c r="H34" s="242"/>
      <c r="J34" s="242"/>
      <c r="K34" s="242"/>
      <c r="L34" s="242"/>
      <c r="M34" s="242"/>
    </row>
    <row r="35" spans="2:13" ht="30" customHeight="1" x14ac:dyDescent="0.25">
      <c r="B35" s="350" t="str">
        <f>Calculations!B34</f>
        <v>Deposit Locations #</v>
      </c>
      <c r="C35" s="350"/>
      <c r="D35" s="254">
        <f ca="1">IF($B35="","",Calculations!G34)</f>
        <v>44</v>
      </c>
      <c r="E35" s="347">
        <f ca="1">IF($B35="","",Calculations!F34)</f>
        <v>43</v>
      </c>
      <c r="F35" s="347"/>
      <c r="G35" s="347"/>
      <c r="H35" s="264">
        <f t="shared" ref="H35:H92" ca="1" si="0">IFERROR(D35-E35,"")</f>
        <v>1</v>
      </c>
      <c r="I35" s="268"/>
      <c r="J35" s="342"/>
      <c r="K35" s="342"/>
      <c r="L35" s="342"/>
      <c r="M35" s="342"/>
    </row>
    <row r="36" spans="2:13" ht="30" customHeight="1" x14ac:dyDescent="0.25">
      <c r="B36" s="350" t="str">
        <f>Calculations!B35</f>
        <v>Deposits #</v>
      </c>
      <c r="C36" s="350"/>
      <c r="D36" s="251">
        <f ca="1">IF($B36="","",Calculations!G35)</f>
        <v>3621</v>
      </c>
      <c r="E36" s="343">
        <f ca="1">IF($B36="","",Calculations!F35)</f>
        <v>4992</v>
      </c>
      <c r="F36" s="343"/>
      <c r="G36" s="343"/>
      <c r="H36" s="264">
        <f t="shared" ca="1" si="0"/>
        <v>-1371</v>
      </c>
      <c r="I36" s="268"/>
      <c r="J36" s="342"/>
      <c r="K36" s="342"/>
      <c r="L36" s="342"/>
      <c r="M36" s="342"/>
    </row>
    <row r="37" spans="2:13" ht="30" customHeight="1" x14ac:dyDescent="0.25">
      <c r="B37" s="350" t="str">
        <f>Calculations!B36</f>
        <v>Deposits $</v>
      </c>
      <c r="C37" s="350"/>
      <c r="D37" s="250">
        <f ca="1">IF($B37="","",Calculations!G36)</f>
        <v>6432.9769400000005</v>
      </c>
      <c r="E37" s="345">
        <f ca="1">IF($B37="","",Calculations!F36)</f>
        <v>10040.762879999998</v>
      </c>
      <c r="F37" s="345"/>
      <c r="G37" s="345"/>
      <c r="H37" s="247">
        <f t="shared" ca="1" si="0"/>
        <v>-3607.7859399999979</v>
      </c>
      <c r="I37" s="263"/>
      <c r="J37" s="342"/>
      <c r="K37" s="342"/>
      <c r="L37" s="342"/>
      <c r="M37" s="342"/>
    </row>
    <row r="38" spans="2:13" ht="30" customHeight="1" x14ac:dyDescent="0.25">
      <c r="B38" s="350" t="str">
        <f>Calculations!B37</f>
        <v>Depositors #</v>
      </c>
      <c r="C38" s="350"/>
      <c r="D38" s="254">
        <f ca="1">IF($B38="","",Calculations!G37)</f>
        <v>140</v>
      </c>
      <c r="E38" s="347">
        <f ca="1">IF($B38="","",Calculations!F37)</f>
        <v>106</v>
      </c>
      <c r="F38" s="347"/>
      <c r="G38" s="347"/>
      <c r="H38" s="264">
        <f t="shared" ca="1" si="0"/>
        <v>34</v>
      </c>
      <c r="I38" s="268"/>
      <c r="J38" s="342"/>
      <c r="K38" s="342"/>
      <c r="L38" s="342"/>
      <c r="M38" s="342"/>
    </row>
    <row r="39" spans="2:13" ht="30" customHeight="1" x14ac:dyDescent="0.25">
      <c r="B39" s="349" t="str">
        <f>Calculations!B38</f>
        <v>Depositors - Up to Date on Training #</v>
      </c>
      <c r="C39" s="349"/>
      <c r="D39" s="254">
        <f ca="1">IF($B39="","",Calculations!G38)</f>
        <v>102</v>
      </c>
      <c r="E39" s="347">
        <f ca="1">IF($B39="","",Calculations!F38)</f>
        <v>69</v>
      </c>
      <c r="F39" s="347"/>
      <c r="G39" s="347"/>
      <c r="H39" s="264">
        <f t="shared" ca="1" si="0"/>
        <v>33</v>
      </c>
      <c r="I39" s="268"/>
      <c r="J39" s="342"/>
      <c r="K39" s="342"/>
      <c r="L39" s="342"/>
      <c r="M39" s="342"/>
    </row>
    <row r="40" spans="2:13" ht="30" customHeight="1" x14ac:dyDescent="0.25">
      <c r="B40" s="349" t="str">
        <f>Calculations!B39</f>
        <v>Depositors - Up to Date on Training %</v>
      </c>
      <c r="C40" s="349"/>
      <c r="D40" s="245">
        <f ca="1">IF($B40="","",Calculations!G39)</f>
        <v>0.72857142857142854</v>
      </c>
      <c r="E40" s="341">
        <f ca="1">IF($B40="","",Calculations!F39)</f>
        <v>0.65094339622641506</v>
      </c>
      <c r="F40" s="341"/>
      <c r="G40" s="341"/>
      <c r="H40" s="266">
        <f ca="1">IFERROR(D40-E40,"")*100</f>
        <v>7.762803234501348</v>
      </c>
      <c r="I40" s="267" t="s">
        <v>348</v>
      </c>
      <c r="J40" s="342"/>
      <c r="K40" s="342"/>
      <c r="L40" s="342"/>
      <c r="M40" s="342"/>
    </row>
    <row r="41" spans="2:13" ht="15.75" x14ac:dyDescent="0.25">
      <c r="B41" s="241" t="s">
        <v>203</v>
      </c>
      <c r="C41" s="242"/>
      <c r="D41" s="242"/>
      <c r="E41" s="242"/>
      <c r="F41" s="242"/>
      <c r="G41" s="242"/>
      <c r="H41" s="242"/>
      <c r="J41" s="242"/>
      <c r="K41" s="242"/>
      <c r="L41" s="242"/>
      <c r="M41" s="242"/>
    </row>
    <row r="42" spans="2:13" ht="30" customHeight="1" x14ac:dyDescent="0.25">
      <c r="B42" s="344" t="str">
        <f>Calculations!B40</f>
        <v>Merchants #</v>
      </c>
      <c r="C42" s="344"/>
      <c r="D42" s="254">
        <f ca="1">IF($B42="","",Calculations!G40)</f>
        <v>55</v>
      </c>
      <c r="E42" s="347">
        <f ca="1">IF($B42="","",Calculations!F40)</f>
        <v>50</v>
      </c>
      <c r="F42" s="347"/>
      <c r="G42" s="347"/>
      <c r="H42" s="252">
        <f t="shared" ca="1" si="0"/>
        <v>5</v>
      </c>
      <c r="I42" s="268"/>
      <c r="J42" s="342"/>
      <c r="K42" s="342"/>
      <c r="L42" s="342"/>
      <c r="M42" s="342"/>
    </row>
    <row r="43" spans="2:13" ht="30" customHeight="1" x14ac:dyDescent="0.25">
      <c r="B43" s="344" t="str">
        <f>Calculations!B41</f>
        <v>Merchants Compliant #</v>
      </c>
      <c r="C43" s="344"/>
      <c r="D43" s="254">
        <f ca="1">IF($B43="","",Calculations!G41)</f>
        <v>48</v>
      </c>
      <c r="E43" s="347">
        <f ca="1">IF($B43="","",Calculations!F41)</f>
        <v>47</v>
      </c>
      <c r="F43" s="347"/>
      <c r="G43" s="347"/>
      <c r="H43" s="252">
        <f t="shared" ca="1" si="0"/>
        <v>1</v>
      </c>
      <c r="I43" s="268"/>
      <c r="J43" s="342"/>
      <c r="K43" s="342"/>
      <c r="L43" s="342"/>
      <c r="M43" s="342"/>
    </row>
    <row r="44" spans="2:13" ht="30" customHeight="1" x14ac:dyDescent="0.25">
      <c r="B44" s="344" t="str">
        <f>Calculations!B42</f>
        <v>Merchants Compliant %</v>
      </c>
      <c r="C44" s="344"/>
      <c r="D44" s="245">
        <f ca="1">IF($B44="","",Calculations!G42)</f>
        <v>0.87272727272727268</v>
      </c>
      <c r="E44" s="341">
        <f ca="1">IF($B44="","",Calculations!F42)</f>
        <v>0.94</v>
      </c>
      <c r="F44" s="341"/>
      <c r="G44" s="341"/>
      <c r="H44" s="266">
        <f ca="1">IFERROR(D44-E44,"")*100</f>
        <v>-6.7272727272727266</v>
      </c>
      <c r="I44" s="267" t="s">
        <v>348</v>
      </c>
      <c r="J44" s="342"/>
      <c r="K44" s="342"/>
      <c r="L44" s="342"/>
      <c r="M44" s="342"/>
    </row>
    <row r="45" spans="2:13" ht="30" customHeight="1" x14ac:dyDescent="0.25">
      <c r="B45" s="344" t="str">
        <f>Calculations!B43</f>
        <v>Sales #</v>
      </c>
      <c r="C45" s="344"/>
      <c r="D45" s="251">
        <f ca="1">IF($B45="","",Calculations!G43)</f>
        <v>955328</v>
      </c>
      <c r="E45" s="343">
        <f ca="1">IF($B45="","",Calculations!F43)</f>
        <v>1242335</v>
      </c>
      <c r="F45" s="343"/>
      <c r="G45" s="343"/>
      <c r="H45" s="252">
        <f t="shared" ca="1" si="0"/>
        <v>-287007</v>
      </c>
      <c r="I45" s="268"/>
      <c r="J45" s="342"/>
      <c r="K45" s="342"/>
      <c r="L45" s="342"/>
      <c r="M45" s="342"/>
    </row>
    <row r="46" spans="2:13" ht="30" customHeight="1" x14ac:dyDescent="0.25">
      <c r="B46" s="344" t="str">
        <f>Calculations!B44</f>
        <v>Sales $</v>
      </c>
      <c r="C46" s="344"/>
      <c r="D46" s="250">
        <f ca="1">IF($B46="","",Calculations!G44)</f>
        <v>13358.086080000001</v>
      </c>
      <c r="E46" s="345">
        <f ca="1">IF($B46="","",Calculations!F44)</f>
        <v>16636.398400000005</v>
      </c>
      <c r="F46" s="345"/>
      <c r="G46" s="345"/>
      <c r="H46" s="244">
        <f t="shared" ca="1" si="0"/>
        <v>-3278.3123200000045</v>
      </c>
      <c r="I46" s="268"/>
      <c r="J46" s="342"/>
      <c r="K46" s="342"/>
      <c r="L46" s="342"/>
      <c r="M46" s="342"/>
    </row>
    <row r="47" spans="2:13" ht="30" customHeight="1" x14ac:dyDescent="0.25">
      <c r="B47" s="344" t="str">
        <f>Calculations!B45</f>
        <v>Refunds #</v>
      </c>
      <c r="C47" s="344"/>
      <c r="D47" s="254">
        <f ca="1">IF($B47="","",Calculations!G45)</f>
        <v>6125</v>
      </c>
      <c r="E47" s="348">
        <f ca="1">IF($B47="","",Calculations!F45)</f>
        <v>1344</v>
      </c>
      <c r="F47" s="348"/>
      <c r="G47" s="348"/>
      <c r="H47" s="252">
        <f t="shared" ca="1" si="0"/>
        <v>4781</v>
      </c>
      <c r="I47" s="268"/>
      <c r="J47" s="342"/>
      <c r="K47" s="342"/>
      <c r="L47" s="342"/>
      <c r="M47" s="342"/>
    </row>
    <row r="48" spans="2:13" ht="30" customHeight="1" x14ac:dyDescent="0.25">
      <c r="B48" s="344" t="str">
        <f>Calculations!B46</f>
        <v>Refunds $</v>
      </c>
      <c r="C48" s="344"/>
      <c r="D48" s="250">
        <f ca="1">IF($B48="","",Calculations!G46)</f>
        <v>824.94928999999991</v>
      </c>
      <c r="E48" s="345">
        <f ca="1">IF($B48="","",Calculations!F46)</f>
        <v>289.03195000000005</v>
      </c>
      <c r="F48" s="345"/>
      <c r="G48" s="345"/>
      <c r="H48" s="244">
        <f t="shared" ca="1" si="0"/>
        <v>535.91733999999985</v>
      </c>
      <c r="I48" s="268"/>
      <c r="J48" s="342"/>
      <c r="K48" s="342"/>
      <c r="L48" s="342"/>
      <c r="M48" s="342"/>
    </row>
    <row r="49" spans="2:13" ht="30" customHeight="1" x14ac:dyDescent="0.25">
      <c r="B49" s="344" t="str">
        <f>Calculations!B47</f>
        <v>Authorized Users #</v>
      </c>
      <c r="C49" s="344"/>
      <c r="D49" s="254">
        <f ca="1">IF($B49="","",Calculations!G47)</f>
        <v>44</v>
      </c>
      <c r="E49" s="347">
        <f ca="1">IF($B49="","",Calculations!F47)</f>
        <v>40</v>
      </c>
      <c r="F49" s="347"/>
      <c r="G49" s="347"/>
      <c r="H49" s="252">
        <f t="shared" ca="1" si="0"/>
        <v>4</v>
      </c>
      <c r="I49" s="268"/>
      <c r="J49" s="342"/>
      <c r="K49" s="342"/>
      <c r="L49" s="342"/>
      <c r="M49" s="342"/>
    </row>
    <row r="50" spans="2:13" ht="30" customHeight="1" x14ac:dyDescent="0.25">
      <c r="B50" s="344" t="str">
        <f>Calculations!B48</f>
        <v>Users Up to Date on Training #</v>
      </c>
      <c r="C50" s="344"/>
      <c r="D50" s="254">
        <f ca="1">IF($B50="","",Calculations!G48)</f>
        <v>40</v>
      </c>
      <c r="E50" s="347">
        <f ca="1">IF($B50="","",Calculations!F48)</f>
        <v>20</v>
      </c>
      <c r="F50" s="347"/>
      <c r="G50" s="347"/>
      <c r="H50" s="253">
        <f t="shared" ca="1" si="0"/>
        <v>20</v>
      </c>
      <c r="I50" s="268"/>
      <c r="J50" s="342"/>
      <c r="K50" s="342"/>
      <c r="L50" s="342"/>
      <c r="M50" s="342"/>
    </row>
    <row r="51" spans="2:13" ht="30" customHeight="1" x14ac:dyDescent="0.25">
      <c r="B51" s="344" t="str">
        <f>Calculations!B49</f>
        <v>Users Up to Date on Training %</v>
      </c>
      <c r="C51" s="344"/>
      <c r="D51" s="245">
        <f ca="1">IF($B51="","",Calculations!G49)</f>
        <v>0.90909090909090906</v>
      </c>
      <c r="E51" s="341">
        <f ca="1">IF($B51="","",Calculations!F49)</f>
        <v>0.5</v>
      </c>
      <c r="F51" s="341"/>
      <c r="G51" s="341"/>
      <c r="H51" s="266">
        <f ca="1">IFERROR(D51-E51,"")*100</f>
        <v>40.909090909090907</v>
      </c>
      <c r="I51" s="267" t="s">
        <v>348</v>
      </c>
      <c r="J51" s="342"/>
      <c r="K51" s="342"/>
      <c r="L51" s="342"/>
      <c r="M51" s="342"/>
    </row>
    <row r="52" spans="2:13" ht="15.75" x14ac:dyDescent="0.25">
      <c r="B52" s="346" t="s">
        <v>290</v>
      </c>
      <c r="C52" s="346"/>
      <c r="D52" s="346"/>
      <c r="E52" s="346"/>
      <c r="F52" s="346"/>
      <c r="G52" s="346"/>
      <c r="H52" s="346"/>
      <c r="I52" s="346"/>
      <c r="J52" s="346"/>
      <c r="K52" s="346"/>
      <c r="L52" s="346"/>
      <c r="M52" s="346"/>
    </row>
    <row r="53" spans="2:13" ht="15.75" x14ac:dyDescent="0.25">
      <c r="B53" s="241" t="s">
        <v>125</v>
      </c>
      <c r="C53" s="242"/>
      <c r="D53" s="242"/>
      <c r="E53" s="242"/>
      <c r="F53" s="242"/>
      <c r="G53" s="242"/>
      <c r="H53" s="242"/>
      <c r="J53" s="242"/>
      <c r="K53" s="242"/>
      <c r="L53" s="242"/>
      <c r="M53" s="242"/>
    </row>
    <row r="54" spans="2:13" ht="30" customHeight="1" x14ac:dyDescent="0.25">
      <c r="B54" s="344" t="str">
        <f>Calculations!B15</f>
        <v>Open PCards</v>
      </c>
      <c r="C54" s="344"/>
      <c r="D54" s="255">
        <f ca="1">IF($B54="","",Calculations!G15)</f>
        <v>241</v>
      </c>
      <c r="E54" s="348">
        <f ca="1">IF($B54="","",Calculations!F15)</f>
        <v>232</v>
      </c>
      <c r="F54" s="348"/>
      <c r="G54" s="348"/>
      <c r="H54" s="252">
        <f t="shared" ref="H54:H58" ca="1" si="1">IFERROR(D54-E54,"")</f>
        <v>9</v>
      </c>
      <c r="I54" s="268"/>
      <c r="J54" s="342"/>
      <c r="K54" s="342"/>
      <c r="L54" s="342"/>
      <c r="M54" s="342"/>
    </row>
    <row r="55" spans="2:13" ht="30" customHeight="1" x14ac:dyDescent="0.25">
      <c r="B55" s="344" t="str">
        <f>Calculations!B16</f>
        <v>PCards Open for 6 Months</v>
      </c>
      <c r="C55" s="344"/>
      <c r="D55" s="255">
        <f ca="1">IF($B55="","",Calculations!G16)</f>
        <v>231</v>
      </c>
      <c r="E55" s="348">
        <f ca="1">IF($B55="","",Calculations!F16)</f>
        <v>215</v>
      </c>
      <c r="F55" s="348"/>
      <c r="G55" s="348"/>
      <c r="H55" s="252">
        <f t="shared" ca="1" si="1"/>
        <v>16</v>
      </c>
      <c r="I55" s="268"/>
      <c r="J55" s="342"/>
      <c r="K55" s="342"/>
      <c r="L55" s="342"/>
      <c r="M55" s="342"/>
    </row>
    <row r="56" spans="2:13" ht="30" customHeight="1" x14ac:dyDescent="0.25">
      <c r="B56" s="344" t="str">
        <f>Calculations!B17</f>
        <v>Underutilized PCards #</v>
      </c>
      <c r="C56" s="344"/>
      <c r="D56" s="255">
        <f ca="1">IF($B56="","",Calculations!G17)</f>
        <v>3</v>
      </c>
      <c r="E56" s="348">
        <f ca="1">IF($B56="","",Calculations!F17)</f>
        <v>3</v>
      </c>
      <c r="F56" s="348"/>
      <c r="G56" s="348"/>
      <c r="H56" s="252">
        <f t="shared" ca="1" si="1"/>
        <v>0</v>
      </c>
      <c r="I56" s="268"/>
      <c r="J56" s="342"/>
      <c r="K56" s="342"/>
      <c r="L56" s="342"/>
      <c r="M56" s="342"/>
    </row>
    <row r="57" spans="2:13" ht="30" customHeight="1" x14ac:dyDescent="0.25">
      <c r="B57" s="344" t="str">
        <f>Calculations!B18</f>
        <v>Underutilized PCards %</v>
      </c>
      <c r="C57" s="344"/>
      <c r="D57" s="245">
        <f ca="1">IF($B57="","",Calculations!G18)</f>
        <v>1.2987012987012988E-2</v>
      </c>
      <c r="E57" s="341">
        <f ca="1">IF($B57="","",Calculations!F18)</f>
        <v>1.3953488372093023E-2</v>
      </c>
      <c r="F57" s="341"/>
      <c r="G57" s="341"/>
      <c r="H57" s="266">
        <f ca="1">IFERROR(D57-E57,"")*100</f>
        <v>-9.6647538508003519E-2</v>
      </c>
      <c r="I57" s="267" t="s">
        <v>348</v>
      </c>
      <c r="J57" s="342"/>
      <c r="K57" s="342"/>
      <c r="L57" s="342"/>
      <c r="M57" s="342"/>
    </row>
    <row r="58" spans="2:13" ht="30" customHeight="1" x14ac:dyDescent="0.25">
      <c r="B58" s="344" t="str">
        <f>Calculations!B19</f>
        <v>Unused Pcards #</v>
      </c>
      <c r="C58" s="344"/>
      <c r="D58" s="255">
        <f ca="1">IF($B58="","",Calculations!G19)</f>
        <v>9</v>
      </c>
      <c r="E58" s="348">
        <f ca="1">IF($B58="","",Calculations!F19)</f>
        <v>2</v>
      </c>
      <c r="F58" s="348"/>
      <c r="G58" s="348"/>
      <c r="H58" s="253">
        <f t="shared" ca="1" si="1"/>
        <v>7</v>
      </c>
      <c r="I58" s="268"/>
      <c r="J58" s="342"/>
      <c r="K58" s="342"/>
      <c r="L58" s="342"/>
      <c r="M58" s="342"/>
    </row>
    <row r="59" spans="2:13" ht="30" customHeight="1" x14ac:dyDescent="0.25">
      <c r="B59" s="344" t="str">
        <f>Calculations!B20</f>
        <v>Unused Pcards %</v>
      </c>
      <c r="C59" s="344"/>
      <c r="D59" s="245">
        <f ca="1">IF($B59="","",Calculations!G20)</f>
        <v>3.896103896103896E-2</v>
      </c>
      <c r="E59" s="341">
        <f ca="1">IF($B59="","",Calculations!F20)</f>
        <v>9.3023255813953487E-3</v>
      </c>
      <c r="F59" s="341"/>
      <c r="G59" s="341"/>
      <c r="H59" s="266">
        <f ca="1">IFERROR(D59-E59,"")*100</f>
        <v>2.9658713379643613</v>
      </c>
      <c r="I59" s="267" t="s">
        <v>348</v>
      </c>
      <c r="J59" s="342"/>
      <c r="K59" s="342"/>
      <c r="L59" s="342"/>
      <c r="M59" s="342"/>
    </row>
    <row r="60" spans="2:13" ht="15.75" x14ac:dyDescent="0.25">
      <c r="B60" s="241" t="s">
        <v>349</v>
      </c>
      <c r="C60" s="242"/>
      <c r="D60" s="242"/>
      <c r="E60" s="242"/>
      <c r="F60" s="242"/>
      <c r="G60" s="242"/>
      <c r="H60" s="242"/>
      <c r="J60" s="242"/>
      <c r="K60" s="242"/>
      <c r="L60" s="242"/>
      <c r="M60" s="242"/>
    </row>
    <row r="61" spans="2:13" ht="30" customHeight="1" x14ac:dyDescent="0.25">
      <c r="B61" s="340" t="s">
        <v>389</v>
      </c>
      <c r="C61" s="340"/>
      <c r="D61" s="243">
        <f ca="1">IF($B61="","",Calculations!G68)</f>
        <v>1686.6659099999938</v>
      </c>
      <c r="E61" s="345">
        <f ca="1">IF($B61="","",Calculations!F68)</f>
        <v>2481.8450999999955</v>
      </c>
      <c r="F61" s="345"/>
      <c r="G61" s="345"/>
      <c r="H61" s="264">
        <f t="shared" ref="H61" ca="1" si="2">IFERROR(D61-E61,"")</f>
        <v>-795.17919000000165</v>
      </c>
      <c r="I61" s="268"/>
      <c r="J61" s="342"/>
      <c r="K61" s="342"/>
      <c r="L61" s="342"/>
      <c r="M61" s="342"/>
    </row>
    <row r="62" spans="2:13" ht="30" customHeight="1" x14ac:dyDescent="0.25">
      <c r="B62" s="340" t="str">
        <f>Calculations!B50</f>
        <v>Final Approvers #</v>
      </c>
      <c r="C62" s="340"/>
      <c r="D62" s="254">
        <f ca="1">IF($B62="","",Calculations!G50)</f>
        <v>114</v>
      </c>
      <c r="E62" s="347">
        <f ca="1">IF($B62="","",Calculations!F50)</f>
        <v>120</v>
      </c>
      <c r="F62" s="347"/>
      <c r="G62" s="347"/>
      <c r="H62" s="264">
        <f t="shared" ca="1" si="0"/>
        <v>-6</v>
      </c>
      <c r="I62" s="268"/>
      <c r="J62" s="342"/>
      <c r="K62" s="342"/>
      <c r="L62" s="342"/>
      <c r="M62" s="342"/>
    </row>
    <row r="63" spans="2:13" ht="30" customHeight="1" x14ac:dyDescent="0.25">
      <c r="B63" s="340" t="str">
        <f>Calculations!B51</f>
        <v>Final Approvers Up to Date on Training #</v>
      </c>
      <c r="C63" s="340"/>
      <c r="D63" s="254">
        <f ca="1">IF($B63="","",Calculations!G51)</f>
        <v>103</v>
      </c>
      <c r="E63" s="347">
        <f ca="1">IF($B63="","",Calculations!F51)</f>
        <v>113</v>
      </c>
      <c r="F63" s="347"/>
      <c r="G63" s="347"/>
      <c r="H63" s="264">
        <f t="shared" ca="1" si="0"/>
        <v>-10</v>
      </c>
      <c r="I63" s="268"/>
      <c r="J63" s="342"/>
      <c r="K63" s="342"/>
      <c r="L63" s="342"/>
      <c r="M63" s="342"/>
    </row>
    <row r="64" spans="2:13" ht="30" customHeight="1" x14ac:dyDescent="0.25">
      <c r="B64" s="340" t="str">
        <f>Calculations!B52</f>
        <v>Final Approvers Up to Date on Training %</v>
      </c>
      <c r="C64" s="340"/>
      <c r="D64" s="245">
        <f ca="1">IF($B64="","",Calculations!G52)</f>
        <v>0.90350877192982459</v>
      </c>
      <c r="E64" s="341">
        <f ca="1">IF($B64="","",Calculations!F52)</f>
        <v>0.94166666666666665</v>
      </c>
      <c r="F64" s="341"/>
      <c r="G64" s="341"/>
      <c r="H64" s="266">
        <f ca="1">IFERROR(D64-E64,"")*100</f>
        <v>-3.8157894736842057</v>
      </c>
      <c r="I64" s="267" t="s">
        <v>348</v>
      </c>
      <c r="J64" s="342"/>
      <c r="K64" s="342"/>
      <c r="L64" s="342"/>
      <c r="M64" s="342"/>
    </row>
    <row r="65" spans="2:13" ht="15.75" x14ac:dyDescent="0.25">
      <c r="B65" s="346" t="s">
        <v>295</v>
      </c>
      <c r="C65" s="346"/>
      <c r="D65" s="346"/>
      <c r="E65" s="346"/>
      <c r="F65" s="346"/>
      <c r="G65" s="346"/>
      <c r="H65" s="346"/>
      <c r="I65" s="346"/>
      <c r="J65" s="346"/>
      <c r="K65" s="346"/>
      <c r="L65" s="346"/>
      <c r="M65" s="346"/>
    </row>
    <row r="66" spans="2:13" ht="15.75" x14ac:dyDescent="0.25">
      <c r="B66" s="241"/>
      <c r="C66" s="242"/>
      <c r="D66" s="242"/>
      <c r="E66" s="242"/>
      <c r="F66" s="242"/>
      <c r="G66" s="242"/>
      <c r="H66" s="242"/>
      <c r="J66" s="242"/>
      <c r="K66" s="242"/>
      <c r="L66" s="242"/>
      <c r="M66" s="242"/>
    </row>
    <row r="67" spans="2:13" ht="30" customHeight="1" x14ac:dyDescent="0.25">
      <c r="B67" s="344" t="str">
        <f>Calculations!B53</f>
        <v>Gift Fund Balance $</v>
      </c>
      <c r="C67" s="344"/>
      <c r="D67" s="250">
        <f ca="1">IF($B67="","",Calculations!G53)</f>
        <v>8041.8177400000022</v>
      </c>
      <c r="E67" s="345">
        <f ca="1">IF($B67="","",Calculations!F53)</f>
        <v>6708.4428999999973</v>
      </c>
      <c r="F67" s="345"/>
      <c r="G67" s="345"/>
      <c r="H67" s="247">
        <f t="shared" ca="1" si="0"/>
        <v>1333.374840000005</v>
      </c>
      <c r="I67" s="263"/>
      <c r="J67" s="342"/>
      <c r="K67" s="342"/>
      <c r="L67" s="342"/>
      <c r="M67" s="342"/>
    </row>
    <row r="68" spans="2:13" ht="30" customHeight="1" x14ac:dyDescent="0.25">
      <c r="B68" s="340" t="str">
        <f>Calculations!B54</f>
        <v>No Expenses &gt; 5 years #</v>
      </c>
      <c r="C68" s="340"/>
      <c r="D68" s="254">
        <f ca="1">IF($B68="","",Calculations!G54)</f>
        <v>47</v>
      </c>
      <c r="E68" s="347">
        <f ca="1">IF($B68="","",Calculations!F54)</f>
        <v>59</v>
      </c>
      <c r="F68" s="347"/>
      <c r="G68" s="347"/>
      <c r="H68" s="264">
        <f t="shared" ca="1" si="0"/>
        <v>-12</v>
      </c>
      <c r="I68" s="268"/>
      <c r="J68" s="342"/>
      <c r="K68" s="342"/>
      <c r="L68" s="342"/>
      <c r="M68" s="342"/>
    </row>
    <row r="69" spans="2:13" ht="30" customHeight="1" x14ac:dyDescent="0.25">
      <c r="B69" s="340" t="str">
        <f>Calculations!B55</f>
        <v>No Expenses &gt; 5 years Balance $</v>
      </c>
      <c r="C69" s="340"/>
      <c r="D69" s="250">
        <f ca="1">IF($B69="","",Calculations!G55)</f>
        <v>466.57511999999997</v>
      </c>
      <c r="E69" s="345">
        <f ca="1">IF($B69="","",Calculations!F55)</f>
        <v>498.36478999999997</v>
      </c>
      <c r="F69" s="345"/>
      <c r="G69" s="345"/>
      <c r="H69" s="247">
        <f t="shared" ca="1" si="0"/>
        <v>-31.789670000000001</v>
      </c>
      <c r="I69" s="263"/>
      <c r="J69" s="342"/>
      <c r="K69" s="342"/>
      <c r="L69" s="342"/>
      <c r="M69" s="342"/>
    </row>
    <row r="70" spans="2:13" ht="15.75" x14ac:dyDescent="0.25">
      <c r="B70" s="346" t="s">
        <v>299</v>
      </c>
      <c r="C70" s="346"/>
      <c r="D70" s="346"/>
      <c r="E70" s="346"/>
      <c r="F70" s="346"/>
      <c r="G70" s="346"/>
      <c r="H70" s="346"/>
      <c r="I70" s="346"/>
      <c r="J70" s="346"/>
      <c r="K70" s="346"/>
      <c r="L70" s="346"/>
      <c r="M70" s="346"/>
    </row>
    <row r="71" spans="2:13" ht="15.75" x14ac:dyDescent="0.25">
      <c r="B71" s="241"/>
      <c r="C71" s="242"/>
      <c r="D71" s="242"/>
      <c r="E71" s="242"/>
      <c r="F71" s="242"/>
      <c r="G71" s="242"/>
      <c r="H71" s="242"/>
      <c r="J71" s="242"/>
      <c r="K71" s="242"/>
      <c r="L71" s="242"/>
      <c r="M71" s="242"/>
    </row>
    <row r="72" spans="2:13" ht="30" customHeight="1" x14ac:dyDescent="0.25">
      <c r="B72" s="344" t="str">
        <f>Calculations!B56</f>
        <v>Total Disbursed $</v>
      </c>
      <c r="C72" s="344"/>
      <c r="D72" s="250">
        <f ca="1">IF($B72="","",Calculations!G56)</f>
        <v>1018.1214000000002</v>
      </c>
      <c r="E72" s="345">
        <f ca="1">IF($B72="","",Calculations!F56)</f>
        <v>873.82168000000001</v>
      </c>
      <c r="F72" s="345"/>
      <c r="G72" s="345"/>
      <c r="H72" s="244">
        <f t="shared" ca="1" si="0"/>
        <v>144.29972000000021</v>
      </c>
      <c r="I72" s="268"/>
      <c r="J72" s="342"/>
      <c r="K72" s="342"/>
      <c r="L72" s="342"/>
      <c r="M72" s="342"/>
    </row>
    <row r="73" spans="2:13" ht="30" customHeight="1" x14ac:dyDescent="0.25">
      <c r="B73" s="344" t="str">
        <f>Calculations!B57</f>
        <v>Overrides $</v>
      </c>
      <c r="C73" s="344"/>
      <c r="D73" s="250">
        <f ca="1">IF($B73="","",Calculations!G57)</f>
        <v>339.00960000000003</v>
      </c>
      <c r="E73" s="345">
        <f ca="1">IF($B73="","",Calculations!F57)</f>
        <v>187.90199999999999</v>
      </c>
      <c r="F73" s="345"/>
      <c r="G73" s="345"/>
      <c r="H73" s="244">
        <f t="shared" ca="1" si="0"/>
        <v>151.10760000000005</v>
      </c>
      <c r="I73" s="268"/>
      <c r="J73" s="342"/>
      <c r="K73" s="342"/>
      <c r="L73" s="342"/>
      <c r="M73" s="342"/>
    </row>
    <row r="74" spans="2:13" ht="30" customHeight="1" x14ac:dyDescent="0.25">
      <c r="B74" s="344" t="str">
        <f>Calculations!B58</f>
        <v>Overrides %</v>
      </c>
      <c r="C74" s="344"/>
      <c r="D74" s="245">
        <f ca="1">IF($B74="","",Calculations!G58)</f>
        <v>0.33297561567805173</v>
      </c>
      <c r="E74" s="341">
        <f ca="1">IF($B74="","",Calculations!F58)</f>
        <v>0.21503471966957835</v>
      </c>
      <c r="F74" s="341"/>
      <c r="G74" s="341"/>
      <c r="H74" s="269">
        <f ca="1">IFERROR(D74-E74,"")*100</f>
        <v>11.794089600847338</v>
      </c>
      <c r="I74" s="268" t="s">
        <v>348</v>
      </c>
      <c r="J74" s="342"/>
      <c r="K74" s="342"/>
      <c r="L74" s="342"/>
      <c r="M74" s="342"/>
    </row>
    <row r="75" spans="2:13" ht="30" customHeight="1" x14ac:dyDescent="0.25">
      <c r="B75" s="340" t="str">
        <f>Calculations!B59</f>
        <v>No Disbursement Rules Applied (DR4) $</v>
      </c>
      <c r="C75" s="340"/>
      <c r="D75" s="250">
        <f ca="1">IF($B75="","",Calculations!G59)</f>
        <v>250.05159</v>
      </c>
      <c r="E75" s="345">
        <f ca="1">IF($B75="","",Calculations!F59)</f>
        <v>217.101</v>
      </c>
      <c r="F75" s="345"/>
      <c r="G75" s="345"/>
      <c r="H75" s="244">
        <f t="shared" ca="1" si="0"/>
        <v>32.950590000000005</v>
      </c>
      <c r="J75" s="342"/>
      <c r="K75" s="342"/>
      <c r="L75" s="342"/>
      <c r="M75" s="342"/>
    </row>
    <row r="76" spans="2:13" ht="30" customHeight="1" x14ac:dyDescent="0.25">
      <c r="B76" s="340" t="str">
        <f>Calculations!B60</f>
        <v>No Disbursement Rules Applied (DR4) %</v>
      </c>
      <c r="C76" s="340"/>
      <c r="D76" s="245">
        <f ca="1">IF($B76="","",Calculations!G60)</f>
        <v>0.24560095682106273</v>
      </c>
      <c r="E76" s="341">
        <f ca="1">IF($B76="","",Calculations!F60)</f>
        <v>0.24845000412441126</v>
      </c>
      <c r="F76" s="341"/>
      <c r="G76" s="341"/>
      <c r="H76" s="269">
        <f ca="1">IFERROR(D76-E76,"")*100</f>
        <v>-0.28490473033485342</v>
      </c>
      <c r="I76" s="268" t="s">
        <v>348</v>
      </c>
      <c r="J76" s="342"/>
      <c r="K76" s="342"/>
      <c r="L76" s="342"/>
      <c r="M76" s="342"/>
    </row>
    <row r="77" spans="2:13" ht="30" customHeight="1" x14ac:dyDescent="0.25">
      <c r="B77" s="340" t="str">
        <f>Calculations!B61</f>
        <v>Non Traditional Students #</v>
      </c>
      <c r="C77" s="340"/>
      <c r="D77" s="254">
        <f ca="1">IF($B77="","",Calculations!G61)</f>
        <v>0</v>
      </c>
      <c r="E77" s="347">
        <f ca="1">IF($B77="","",Calculations!F61)</f>
        <v>0</v>
      </c>
      <c r="F77" s="347"/>
      <c r="G77" s="347"/>
      <c r="H77" s="252">
        <f t="shared" ca="1" si="0"/>
        <v>0</v>
      </c>
      <c r="I77" s="268"/>
      <c r="J77" s="342"/>
      <c r="K77" s="342"/>
      <c r="L77" s="342"/>
      <c r="M77" s="342"/>
    </row>
    <row r="78" spans="2:13" ht="30" customHeight="1" x14ac:dyDescent="0.25">
      <c r="B78" s="340" t="str">
        <f>Calculations!B62</f>
        <v>Non Traditional Students $</v>
      </c>
      <c r="C78" s="340"/>
      <c r="D78" s="250">
        <f ca="1">IF($B78="","",Calculations!G62)</f>
        <v>0</v>
      </c>
      <c r="E78" s="345">
        <f ca="1">IF($B78="","",Calculations!F62)</f>
        <v>0</v>
      </c>
      <c r="F78" s="345"/>
      <c r="G78" s="345"/>
      <c r="H78" s="247">
        <f t="shared" ca="1" si="0"/>
        <v>0</v>
      </c>
      <c r="I78" s="268"/>
      <c r="J78" s="342"/>
      <c r="K78" s="342"/>
      <c r="L78" s="342"/>
      <c r="M78" s="342"/>
    </row>
    <row r="79" spans="2:13" ht="15.75" x14ac:dyDescent="0.25">
      <c r="B79" s="346" t="s">
        <v>226</v>
      </c>
      <c r="C79" s="346"/>
      <c r="D79" s="346"/>
      <c r="E79" s="346"/>
      <c r="F79" s="346"/>
      <c r="G79" s="346"/>
      <c r="H79" s="346"/>
      <c r="I79" s="346"/>
      <c r="J79" s="346"/>
      <c r="K79" s="346"/>
      <c r="L79" s="346"/>
      <c r="M79" s="346"/>
    </row>
    <row r="80" spans="2:13" ht="15.75" x14ac:dyDescent="0.25">
      <c r="B80" s="241" t="s">
        <v>45</v>
      </c>
      <c r="C80" s="242"/>
      <c r="D80" s="242"/>
      <c r="E80" s="242"/>
      <c r="F80" s="242"/>
      <c r="G80" s="242"/>
      <c r="H80" s="242"/>
      <c r="J80" s="242"/>
      <c r="K80" s="242"/>
      <c r="L80" s="242"/>
      <c r="M80" s="242"/>
    </row>
    <row r="81" spans="2:13" ht="30" customHeight="1" x14ac:dyDescent="0.25">
      <c r="B81" s="344" t="str">
        <f>Calculations!B63</f>
        <v>Total Assets #</v>
      </c>
      <c r="C81" s="344"/>
      <c r="D81" s="251">
        <f ca="1">IF($B81="","",Calculations!G63)</f>
        <v>644</v>
      </c>
      <c r="E81" s="343">
        <f ca="1">IF($B81="","",Calculations!F63)</f>
        <v>502</v>
      </c>
      <c r="F81" s="343"/>
      <c r="G81" s="343"/>
      <c r="H81" s="264">
        <f t="shared" ca="1" si="0"/>
        <v>142</v>
      </c>
      <c r="I81" s="268"/>
      <c r="J81" s="342"/>
      <c r="K81" s="342"/>
      <c r="L81" s="342"/>
      <c r="M81" s="342"/>
    </row>
    <row r="82" spans="2:13" ht="30" customHeight="1" x14ac:dyDescent="0.25">
      <c r="B82" s="344" t="str">
        <f>Calculations!B64</f>
        <v>Blank Custodians #</v>
      </c>
      <c r="C82" s="344"/>
      <c r="D82" s="251">
        <f ca="1">IF($B82="","",Calculations!G64)</f>
        <v>74</v>
      </c>
      <c r="E82" s="343">
        <f ca="1">IF($B82="","",Calculations!F64)</f>
        <v>128</v>
      </c>
      <c r="F82" s="343"/>
      <c r="G82" s="343"/>
      <c r="H82" s="264">
        <f t="shared" ca="1" si="0"/>
        <v>-54</v>
      </c>
      <c r="I82" s="268"/>
      <c r="J82" s="342"/>
      <c r="K82" s="342"/>
      <c r="L82" s="342"/>
      <c r="M82" s="342"/>
    </row>
    <row r="83" spans="2:13" ht="30" customHeight="1" x14ac:dyDescent="0.25">
      <c r="B83" s="344" t="str">
        <f>Calculations!B65</f>
        <v>Blank Custodians %</v>
      </c>
      <c r="C83" s="344"/>
      <c r="D83" s="245">
        <f ca="1">IF($B83="","",Calculations!G65)</f>
        <v>0.11490683229813664</v>
      </c>
      <c r="E83" s="341">
        <f ca="1">IF($B83="","",Calculations!F65)</f>
        <v>0.2549800796812749</v>
      </c>
      <c r="F83" s="341"/>
      <c r="G83" s="341"/>
      <c r="H83" s="269">
        <f ca="1">IFERROR(D83-E83,"")*100</f>
        <v>-14.007324738313825</v>
      </c>
      <c r="I83" s="268" t="s">
        <v>348</v>
      </c>
      <c r="J83" s="342"/>
      <c r="K83" s="342"/>
      <c r="L83" s="342"/>
      <c r="M83" s="342"/>
    </row>
    <row r="84" spans="2:13" ht="30" hidden="1" customHeight="1" x14ac:dyDescent="0.25">
      <c r="B84" s="344" t="str">
        <f>Calculations!B71</f>
        <v>Unused Metric</v>
      </c>
      <c r="C84" s="344"/>
      <c r="D84" s="251">
        <f ca="1">IF($B84="","",Calculations!G71)</f>
        <v>0</v>
      </c>
      <c r="E84" s="343">
        <f ca="1">IF($B84="","",Calculations!F71)</f>
        <v>0</v>
      </c>
      <c r="F84" s="343"/>
      <c r="G84" s="343"/>
      <c r="H84" s="256">
        <f t="shared" ca="1" si="0"/>
        <v>0</v>
      </c>
      <c r="J84" s="342"/>
      <c r="K84" s="342"/>
      <c r="L84" s="342"/>
      <c r="M84" s="342"/>
    </row>
    <row r="85" spans="2:13" ht="15.75" x14ac:dyDescent="0.25">
      <c r="B85" s="241" t="s">
        <v>46</v>
      </c>
      <c r="C85" s="242"/>
      <c r="D85" s="242"/>
      <c r="E85" s="242"/>
      <c r="F85" s="242"/>
      <c r="G85" s="242"/>
      <c r="H85" s="242"/>
      <c r="J85" s="242"/>
      <c r="K85" s="242"/>
      <c r="L85" s="242"/>
      <c r="M85" s="242"/>
    </row>
    <row r="86" spans="2:13" ht="30" customHeight="1" x14ac:dyDescent="0.25">
      <c r="B86" s="340" t="str">
        <f>Calculations!B66</f>
        <v>Total Assets #</v>
      </c>
      <c r="C86" s="340"/>
      <c r="D86" s="251">
        <f ca="1">IF($B86="","",Calculations!G66)</f>
        <v>0</v>
      </c>
      <c r="E86" s="343">
        <f ca="1">IF($B86="","",Calculations!F66)</f>
        <v>0</v>
      </c>
      <c r="F86" s="343"/>
      <c r="G86" s="343"/>
      <c r="H86" s="264">
        <f t="shared" ca="1" si="0"/>
        <v>0</v>
      </c>
      <c r="I86" s="268"/>
      <c r="J86" s="342"/>
      <c r="K86" s="342"/>
      <c r="L86" s="342"/>
      <c r="M86" s="342"/>
    </row>
    <row r="87" spans="2:13" ht="30" customHeight="1" x14ac:dyDescent="0.25">
      <c r="B87" s="340" t="str">
        <f>Calculations!B67</f>
        <v>% of Total Assets</v>
      </c>
      <c r="C87" s="340"/>
      <c r="D87" s="245">
        <f ca="1">IF($B87="","",Calculations!G67)</f>
        <v>0</v>
      </c>
      <c r="E87" s="341">
        <f ca="1">IF($B87="","",Calculations!F67)</f>
        <v>0</v>
      </c>
      <c r="F87" s="341"/>
      <c r="G87" s="341"/>
      <c r="H87" s="269">
        <f ca="1">IFERROR(D87-E87,"")*100</f>
        <v>0</v>
      </c>
      <c r="I87" s="268" t="s">
        <v>348</v>
      </c>
      <c r="J87" s="342"/>
      <c r="K87" s="342"/>
      <c r="L87" s="342"/>
      <c r="M87" s="342"/>
    </row>
    <row r="88" spans="2:13" ht="30" hidden="1" customHeight="1" x14ac:dyDescent="0.25">
      <c r="B88" s="340" t="str">
        <f>Calculations!B68</f>
        <v>Travel &amp; Expense Spend</v>
      </c>
      <c r="C88" s="340"/>
      <c r="D88" s="251">
        <f ca="1">IF($B88="","",Calculations!G68)</f>
        <v>1686.6659099999938</v>
      </c>
      <c r="E88" s="343">
        <f ca="1">IF($B88="","",Calculations!F68)</f>
        <v>2481.8450999999955</v>
      </c>
      <c r="F88" s="343"/>
      <c r="G88" s="343"/>
      <c r="H88" s="257">
        <f t="shared" ca="1" si="0"/>
        <v>-795.17919000000165</v>
      </c>
      <c r="J88" s="342"/>
      <c r="K88" s="342"/>
      <c r="L88" s="342"/>
      <c r="M88" s="342"/>
    </row>
    <row r="89" spans="2:13" ht="30" hidden="1" customHeight="1" x14ac:dyDescent="0.25">
      <c r="B89" s="340" t="str">
        <f>Calculations!B69</f>
        <v>Travel Spend</v>
      </c>
      <c r="C89" s="340"/>
      <c r="D89" s="245">
        <f ca="1">IF($B89="","",Calculations!G69)</f>
        <v>949.49979999999846</v>
      </c>
      <c r="E89" s="341">
        <f ca="1">IF($B89="","",Calculations!F69)</f>
        <v>1449.6748600000005</v>
      </c>
      <c r="F89" s="341"/>
      <c r="G89" s="341"/>
      <c r="H89" s="246">
        <f t="shared" ca="1" si="0"/>
        <v>-500.17506000000208</v>
      </c>
      <c r="J89" s="342"/>
      <c r="K89" s="342"/>
      <c r="L89" s="342"/>
      <c r="M89" s="342"/>
    </row>
    <row r="90" spans="2:13" ht="30" hidden="1" customHeight="1" x14ac:dyDescent="0.25">
      <c r="B90" s="340" t="str">
        <f>Calculations!B70</f>
        <v>Other Spend</v>
      </c>
      <c r="C90" s="340"/>
      <c r="D90" s="251">
        <f ca="1">IF($B90="","",Calculations!G70)</f>
        <v>737.16610999999546</v>
      </c>
      <c r="E90" s="343">
        <f ca="1">IF($B90="","",Calculations!F70)</f>
        <v>1032.1702399999949</v>
      </c>
      <c r="F90" s="343"/>
      <c r="G90" s="343"/>
      <c r="H90" s="253">
        <f t="shared" ca="1" si="0"/>
        <v>-295.00412999999946</v>
      </c>
      <c r="J90" s="342"/>
      <c r="K90" s="342"/>
      <c r="L90" s="342"/>
      <c r="M90" s="342"/>
    </row>
    <row r="91" spans="2:13" ht="30" hidden="1" customHeight="1" x14ac:dyDescent="0.25">
      <c r="B91" s="344" t="str">
        <f>Calculations!B72</f>
        <v>METRIC 49</v>
      </c>
      <c r="C91" s="344"/>
      <c r="D91" s="250">
        <f ca="1">IF($B91="","",Calculations!G72)</f>
        <v>0</v>
      </c>
      <c r="E91" s="345">
        <f ca="1">IF($B91="","",Calculations!F72)</f>
        <v>0</v>
      </c>
      <c r="F91" s="345"/>
      <c r="G91" s="345"/>
      <c r="H91" s="258">
        <f t="shared" ca="1" si="0"/>
        <v>0</v>
      </c>
      <c r="J91" s="342"/>
      <c r="K91" s="342"/>
      <c r="L91" s="342"/>
      <c r="M91" s="342"/>
    </row>
    <row r="92" spans="2:13" ht="30" hidden="1" customHeight="1" x14ac:dyDescent="0.25">
      <c r="B92" s="344" t="str">
        <f>Calculations!B73</f>
        <v>METRIC 50</v>
      </c>
      <c r="C92" s="344"/>
      <c r="D92" s="250">
        <f ca="1">IF($B92="","",Calculations!G73)</f>
        <v>0</v>
      </c>
      <c r="E92" s="345">
        <f ca="1">IF($B92="","",Calculations!F73)</f>
        <v>0</v>
      </c>
      <c r="F92" s="345"/>
      <c r="G92" s="345"/>
      <c r="H92" s="244">
        <f t="shared" ca="1" si="0"/>
        <v>0</v>
      </c>
      <c r="J92" s="342"/>
      <c r="K92" s="342"/>
      <c r="L92" s="342"/>
      <c r="M92" s="342"/>
    </row>
    <row r="93" spans="2:13" ht="11.25" customHeight="1" x14ac:dyDescent="0.25">
      <c r="B93" s="242"/>
      <c r="C93" s="242"/>
      <c r="D93" s="242"/>
      <c r="E93" s="242"/>
      <c r="F93" s="242"/>
      <c r="G93" s="242"/>
      <c r="H93" s="242"/>
      <c r="J93" s="242"/>
      <c r="K93" s="242"/>
      <c r="L93" s="242"/>
      <c r="M93" s="242"/>
    </row>
    <row r="94" spans="2:13" ht="15" customHeight="1" x14ac:dyDescent="0.25">
      <c r="B94" s="271" t="s">
        <v>350</v>
      </c>
      <c r="C94" s="242"/>
      <c r="D94" s="242"/>
      <c r="E94" s="242"/>
      <c r="F94" s="242"/>
      <c r="G94" s="242"/>
      <c r="H94" s="242"/>
      <c r="J94" s="242"/>
      <c r="K94" s="242"/>
      <c r="L94" s="242"/>
      <c r="M94" s="242"/>
    </row>
    <row r="95" spans="2:13" ht="15" hidden="1" customHeight="1" x14ac:dyDescent="0.25">
      <c r="B95" s="272" t="s">
        <v>353</v>
      </c>
      <c r="C95" s="242"/>
      <c r="D95" s="242"/>
      <c r="E95" s="242"/>
      <c r="F95" s="242"/>
      <c r="G95" s="242"/>
      <c r="H95" s="242"/>
      <c r="J95" s="242"/>
      <c r="K95" s="242"/>
      <c r="L95" s="242"/>
      <c r="M95" s="242"/>
    </row>
    <row r="96" spans="2:13" ht="15" hidden="1" customHeight="1" x14ac:dyDescent="0.25">
      <c r="B96" s="272" t="s">
        <v>351</v>
      </c>
      <c r="C96" s="242"/>
      <c r="D96" s="242"/>
      <c r="E96" s="242"/>
      <c r="F96" s="242"/>
      <c r="G96" s="242"/>
      <c r="H96" s="242"/>
      <c r="J96" s="242"/>
      <c r="K96" s="242"/>
      <c r="L96" s="242"/>
      <c r="M96" s="242"/>
    </row>
    <row r="97" spans="2:13" ht="15" customHeight="1" x14ac:dyDescent="0.25">
      <c r="B97" s="272" t="s">
        <v>354</v>
      </c>
      <c r="C97" s="242"/>
      <c r="D97" s="242"/>
      <c r="E97" s="242"/>
      <c r="F97" s="242"/>
      <c r="G97" s="242"/>
      <c r="H97" s="242"/>
      <c r="J97" s="242"/>
      <c r="K97" s="242"/>
      <c r="L97" s="242"/>
      <c r="M97" s="242"/>
    </row>
    <row r="98" spans="2:13" ht="15" customHeight="1" x14ac:dyDescent="0.25">
      <c r="B98" s="272" t="s">
        <v>380</v>
      </c>
      <c r="C98" s="242"/>
      <c r="D98" s="242"/>
      <c r="E98" s="242"/>
      <c r="F98" s="242"/>
      <c r="G98" s="242"/>
      <c r="H98" s="242"/>
      <c r="J98" s="242"/>
      <c r="K98" s="242"/>
      <c r="L98" s="242"/>
      <c r="M98" s="242"/>
    </row>
    <row r="99" spans="2:13" ht="15" customHeight="1" x14ac:dyDescent="0.25">
      <c r="B99" s="272" t="s">
        <v>381</v>
      </c>
      <c r="C99" s="242"/>
      <c r="D99" s="242"/>
      <c r="E99" s="242"/>
      <c r="F99" s="242"/>
      <c r="G99" s="242"/>
      <c r="H99" s="242"/>
      <c r="J99" s="242"/>
      <c r="K99" s="242"/>
      <c r="L99" s="242"/>
      <c r="M99" s="242"/>
    </row>
    <row r="100" spans="2:13" ht="15" customHeight="1" x14ac:dyDescent="0.25">
      <c r="B100" s="272" t="s">
        <v>352</v>
      </c>
      <c r="C100" s="242"/>
      <c r="D100" s="242"/>
      <c r="E100" s="242"/>
      <c r="F100" s="242"/>
      <c r="G100" s="242"/>
      <c r="H100" s="242"/>
      <c r="J100" s="242"/>
      <c r="K100" s="242"/>
      <c r="L100" s="242"/>
      <c r="M100" s="242"/>
    </row>
    <row r="101" spans="2:13" ht="15" customHeight="1" x14ac:dyDescent="0.25">
      <c r="B101" s="272"/>
      <c r="C101" s="242"/>
      <c r="D101" s="242"/>
      <c r="E101" s="242"/>
      <c r="F101" s="242"/>
      <c r="G101" s="242"/>
      <c r="H101" s="242"/>
      <c r="J101" s="242"/>
      <c r="K101" s="242"/>
      <c r="L101" s="242"/>
      <c r="M101" s="242"/>
    </row>
    <row r="102" spans="2:13" ht="15" customHeight="1" x14ac:dyDescent="0.25">
      <c r="B102" s="272"/>
      <c r="C102" s="242"/>
      <c r="D102" s="242"/>
      <c r="E102" s="242"/>
      <c r="F102" s="242"/>
      <c r="G102" s="242"/>
      <c r="H102" s="242"/>
      <c r="J102" s="242"/>
      <c r="K102" s="242"/>
      <c r="L102" s="242"/>
      <c r="M102" s="242"/>
    </row>
    <row r="103" spans="2:13" ht="15" customHeight="1" x14ac:dyDescent="0.25">
      <c r="B103" s="272"/>
      <c r="C103" s="242"/>
      <c r="D103" s="242"/>
      <c r="E103" s="242"/>
      <c r="F103" s="242"/>
      <c r="G103" s="242"/>
      <c r="H103" s="242"/>
      <c r="J103" s="242"/>
      <c r="K103" s="242"/>
      <c r="L103" s="242"/>
      <c r="M103" s="242"/>
    </row>
    <row r="104" spans="2:13" ht="15" customHeight="1" x14ac:dyDescent="0.25">
      <c r="B104" s="272"/>
      <c r="C104" s="242"/>
      <c r="D104" s="242"/>
      <c r="E104" s="242"/>
      <c r="F104" s="242"/>
      <c r="G104" s="242"/>
      <c r="H104" s="242"/>
      <c r="J104" s="242"/>
      <c r="K104" s="242"/>
      <c r="L104" s="242"/>
      <c r="M104" s="242"/>
    </row>
    <row r="105" spans="2:13" ht="15" customHeight="1" x14ac:dyDescent="0.25">
      <c r="B105" s="272"/>
      <c r="C105" s="242"/>
      <c r="D105" s="242"/>
      <c r="E105" s="242"/>
      <c r="F105" s="242"/>
      <c r="G105" s="242"/>
      <c r="H105" s="242"/>
      <c r="J105" s="242"/>
      <c r="K105" s="242"/>
      <c r="L105" s="242"/>
      <c r="M105" s="242"/>
    </row>
    <row r="106" spans="2:13" ht="15" customHeight="1" x14ac:dyDescent="0.25">
      <c r="B106" s="272"/>
      <c r="C106" s="242"/>
      <c r="D106" s="242"/>
      <c r="E106" s="242"/>
      <c r="F106" s="242"/>
      <c r="G106" s="242"/>
      <c r="H106" s="242"/>
      <c r="J106" s="242"/>
      <c r="K106" s="242"/>
      <c r="L106" s="242"/>
      <c r="M106" s="242"/>
    </row>
    <row r="107" spans="2:13" ht="15" customHeight="1" x14ac:dyDescent="0.25">
      <c r="B107" s="272"/>
      <c r="C107" s="242"/>
      <c r="D107" s="242"/>
      <c r="E107" s="242"/>
      <c r="F107" s="242"/>
      <c r="G107" s="242"/>
      <c r="H107" s="242"/>
      <c r="J107" s="242"/>
      <c r="K107" s="242"/>
      <c r="L107" s="242"/>
      <c r="M107" s="242"/>
    </row>
    <row r="108" spans="2:13" ht="15" customHeight="1" x14ac:dyDescent="0.25">
      <c r="B108" s="272"/>
      <c r="C108" s="242"/>
      <c r="D108" s="242"/>
      <c r="E108" s="242"/>
      <c r="F108" s="242"/>
      <c r="G108" s="242"/>
      <c r="H108" s="242"/>
      <c r="J108" s="242"/>
      <c r="K108" s="242"/>
      <c r="L108" s="242"/>
      <c r="M108" s="242"/>
    </row>
    <row r="109" spans="2:13" ht="15" customHeight="1" x14ac:dyDescent="0.25">
      <c r="B109" s="272"/>
      <c r="C109" s="242"/>
      <c r="D109" s="242"/>
      <c r="E109" s="242"/>
      <c r="F109" s="242"/>
      <c r="G109" s="242"/>
      <c r="H109" s="242"/>
      <c r="J109" s="242"/>
      <c r="K109" s="242"/>
      <c r="L109" s="242"/>
      <c r="M109" s="242"/>
    </row>
    <row r="110" spans="2:13" ht="15" customHeight="1" x14ac:dyDescent="0.25">
      <c r="B110" s="270"/>
      <c r="C110" s="242"/>
      <c r="D110" s="242"/>
      <c r="E110" s="242"/>
      <c r="F110" s="242"/>
      <c r="G110" s="242"/>
      <c r="H110" s="242"/>
      <c r="J110" s="242"/>
      <c r="K110" s="242"/>
      <c r="L110" s="242"/>
      <c r="M110" s="242"/>
    </row>
    <row r="111" spans="2:13" ht="15" customHeight="1" x14ac:dyDescent="0.25">
      <c r="B111" s="270"/>
      <c r="C111" s="242"/>
      <c r="D111" s="242"/>
      <c r="E111" s="242"/>
      <c r="F111" s="242"/>
      <c r="G111" s="242"/>
      <c r="H111" s="242"/>
      <c r="J111" s="242"/>
      <c r="K111" s="242"/>
      <c r="L111" s="242"/>
      <c r="M111" s="242"/>
    </row>
    <row r="112" spans="2:13" ht="15" customHeight="1" x14ac:dyDescent="0.25">
      <c r="B112" s="270"/>
      <c r="C112" s="242"/>
      <c r="D112" s="242"/>
      <c r="E112" s="242"/>
      <c r="F112" s="242"/>
      <c r="G112" s="242"/>
      <c r="H112" s="242"/>
      <c r="J112" s="242"/>
      <c r="K112" s="242"/>
      <c r="L112" s="242"/>
      <c r="M112" s="242"/>
    </row>
    <row r="113" spans="2:13" ht="15" customHeight="1" x14ac:dyDescent="0.25">
      <c r="B113" s="270"/>
      <c r="C113" s="242"/>
      <c r="D113" s="242"/>
      <c r="E113" s="242"/>
      <c r="F113" s="242"/>
      <c r="G113" s="242"/>
      <c r="H113" s="242"/>
      <c r="J113" s="242"/>
      <c r="K113" s="242"/>
      <c r="L113" s="242"/>
      <c r="M113" s="242"/>
    </row>
    <row r="114" spans="2:13" ht="15" customHeight="1" x14ac:dyDescent="0.25">
      <c r="B114" s="270"/>
      <c r="C114" s="242"/>
      <c r="D114" s="242"/>
      <c r="E114" s="242"/>
      <c r="F114" s="242"/>
      <c r="G114" s="242"/>
      <c r="H114" s="242"/>
      <c r="J114" s="242"/>
      <c r="K114" s="242"/>
      <c r="L114" s="242"/>
      <c r="M114" s="242"/>
    </row>
    <row r="115" spans="2:13" ht="15" customHeight="1" x14ac:dyDescent="0.25">
      <c r="B115" s="270"/>
      <c r="C115" s="242"/>
      <c r="D115" s="242"/>
      <c r="E115" s="242"/>
      <c r="F115" s="242"/>
      <c r="G115" s="242"/>
      <c r="H115" s="242"/>
      <c r="J115" s="242"/>
      <c r="K115" s="242"/>
      <c r="L115" s="242"/>
      <c r="M115" s="242"/>
    </row>
    <row r="116" spans="2:13" ht="15" customHeight="1" x14ac:dyDescent="0.25">
      <c r="B116" s="270"/>
      <c r="C116" s="242"/>
      <c r="D116" s="242"/>
      <c r="E116" s="242"/>
      <c r="F116" s="242"/>
      <c r="G116" s="242"/>
      <c r="H116" s="242"/>
      <c r="J116" s="242"/>
      <c r="K116" s="242"/>
      <c r="L116" s="242"/>
      <c r="M116" s="242"/>
    </row>
    <row r="117" spans="2:13" ht="15" customHeight="1" x14ac:dyDescent="0.25">
      <c r="B117" s="270"/>
      <c r="C117" s="242"/>
      <c r="D117" s="242"/>
      <c r="E117" s="242"/>
      <c r="F117" s="242"/>
      <c r="G117" s="242"/>
      <c r="H117" s="242"/>
      <c r="J117" s="242"/>
      <c r="K117" s="242"/>
      <c r="L117" s="242"/>
      <c r="M117" s="242"/>
    </row>
    <row r="118" spans="2:13" ht="15" customHeight="1" x14ac:dyDescent="0.25">
      <c r="B118" s="270"/>
      <c r="C118" s="242"/>
      <c r="D118" s="242"/>
      <c r="E118" s="242"/>
      <c r="F118" s="242"/>
      <c r="G118" s="242"/>
      <c r="H118" s="242"/>
      <c r="J118" s="242"/>
      <c r="K118" s="242"/>
      <c r="L118" s="242"/>
      <c r="M118" s="242"/>
    </row>
  </sheetData>
  <sheetProtection selectLockedCells="1"/>
  <dataConsolidate/>
  <mergeCells count="212">
    <mergeCell ref="K11:M11"/>
    <mergeCell ref="L2:M2"/>
    <mergeCell ref="B3:M4"/>
    <mergeCell ref="B5:C5"/>
    <mergeCell ref="K6:M6"/>
    <mergeCell ref="K7:M7"/>
    <mergeCell ref="K8:M8"/>
    <mergeCell ref="K9:M9"/>
    <mergeCell ref="K10:M10"/>
    <mergeCell ref="J2:K2"/>
    <mergeCell ref="H7:I7"/>
    <mergeCell ref="H8:I8"/>
    <mergeCell ref="H9:I9"/>
    <mergeCell ref="H10:I10"/>
    <mergeCell ref="H11:I11"/>
    <mergeCell ref="D5:E5"/>
    <mergeCell ref="F5:G5"/>
    <mergeCell ref="H5:I5"/>
    <mergeCell ref="J5:K5"/>
    <mergeCell ref="L5:M5"/>
    <mergeCell ref="B14:M14"/>
    <mergeCell ref="B15:C15"/>
    <mergeCell ref="E15:G15"/>
    <mergeCell ref="J15:M15"/>
    <mergeCell ref="B54:C54"/>
    <mergeCell ref="E54:G54"/>
    <mergeCell ref="J54:M54"/>
    <mergeCell ref="B13:C13"/>
    <mergeCell ref="D13:M13"/>
    <mergeCell ref="B16:M16"/>
    <mergeCell ref="B33:M33"/>
    <mergeCell ref="B52:M52"/>
    <mergeCell ref="B19:C19"/>
    <mergeCell ref="E19:G19"/>
    <mergeCell ref="J19:M19"/>
    <mergeCell ref="B21:C21"/>
    <mergeCell ref="E21:G21"/>
    <mergeCell ref="J21:M21"/>
    <mergeCell ref="B27:C27"/>
    <mergeCell ref="E27:G27"/>
    <mergeCell ref="J27:M27"/>
    <mergeCell ref="B26:C26"/>
    <mergeCell ref="E26:G26"/>
    <mergeCell ref="J26:M26"/>
    <mergeCell ref="B28:C28"/>
    <mergeCell ref="E28:G28"/>
    <mergeCell ref="J28:M28"/>
    <mergeCell ref="B30:C30"/>
    <mergeCell ref="E30:G30"/>
    <mergeCell ref="J30:M30"/>
    <mergeCell ref="B57:C57"/>
    <mergeCell ref="E57:G57"/>
    <mergeCell ref="J57:M57"/>
    <mergeCell ref="B55:C55"/>
    <mergeCell ref="E55:G55"/>
    <mergeCell ref="J55:M55"/>
    <mergeCell ref="B56:C56"/>
    <mergeCell ref="E56:G56"/>
    <mergeCell ref="J56:M56"/>
    <mergeCell ref="B31:C31"/>
    <mergeCell ref="E31:G31"/>
    <mergeCell ref="J31:M31"/>
    <mergeCell ref="B32:C32"/>
    <mergeCell ref="E32:G32"/>
    <mergeCell ref="J32:M32"/>
    <mergeCell ref="B35:C35"/>
    <mergeCell ref="E35:G35"/>
    <mergeCell ref="J35:M35"/>
    <mergeCell ref="B18:C18"/>
    <mergeCell ref="E18:G18"/>
    <mergeCell ref="J18:M18"/>
    <mergeCell ref="B24:C24"/>
    <mergeCell ref="E24:G24"/>
    <mergeCell ref="J24:M24"/>
    <mergeCell ref="B25:C25"/>
    <mergeCell ref="E25:G25"/>
    <mergeCell ref="J25:M25"/>
    <mergeCell ref="B20:C20"/>
    <mergeCell ref="E20:G20"/>
    <mergeCell ref="J20:M20"/>
    <mergeCell ref="B22:C22"/>
    <mergeCell ref="E22:G22"/>
    <mergeCell ref="J22:M22"/>
    <mergeCell ref="B48:C48"/>
    <mergeCell ref="E48:G48"/>
    <mergeCell ref="J48:M48"/>
    <mergeCell ref="B49:C49"/>
    <mergeCell ref="E49:G49"/>
    <mergeCell ref="J49:M49"/>
    <mergeCell ref="B46:C46"/>
    <mergeCell ref="E46:G46"/>
    <mergeCell ref="J46:M46"/>
    <mergeCell ref="B47:C47"/>
    <mergeCell ref="E47:G47"/>
    <mergeCell ref="J47:M47"/>
    <mergeCell ref="B36:C36"/>
    <mergeCell ref="E36:G36"/>
    <mergeCell ref="J36:M36"/>
    <mergeCell ref="B37:C37"/>
    <mergeCell ref="E37:G37"/>
    <mergeCell ref="J37:M37"/>
    <mergeCell ref="B38:C38"/>
    <mergeCell ref="E38:G38"/>
    <mergeCell ref="J38:M38"/>
    <mergeCell ref="B39:C39"/>
    <mergeCell ref="E39:G39"/>
    <mergeCell ref="J39:M39"/>
    <mergeCell ref="E44:G44"/>
    <mergeCell ref="J44:M44"/>
    <mergeCell ref="B45:C45"/>
    <mergeCell ref="E45:G45"/>
    <mergeCell ref="J45:M45"/>
    <mergeCell ref="B43:C43"/>
    <mergeCell ref="E43:G43"/>
    <mergeCell ref="J43:M43"/>
    <mergeCell ref="B44:C44"/>
    <mergeCell ref="B40:C40"/>
    <mergeCell ref="E40:G40"/>
    <mergeCell ref="J40:M40"/>
    <mergeCell ref="B42:C42"/>
    <mergeCell ref="E42:G42"/>
    <mergeCell ref="J42:M42"/>
    <mergeCell ref="B50:C50"/>
    <mergeCell ref="E50:G50"/>
    <mergeCell ref="J50:M50"/>
    <mergeCell ref="B51:C51"/>
    <mergeCell ref="E51:G51"/>
    <mergeCell ref="J51:M51"/>
    <mergeCell ref="B61:C61"/>
    <mergeCell ref="E61:G61"/>
    <mergeCell ref="J61:M61"/>
    <mergeCell ref="B59:C59"/>
    <mergeCell ref="E59:G59"/>
    <mergeCell ref="J59:M59"/>
    <mergeCell ref="B58:C58"/>
    <mergeCell ref="E58:G58"/>
    <mergeCell ref="J58:M58"/>
    <mergeCell ref="B64:C64"/>
    <mergeCell ref="E64:G64"/>
    <mergeCell ref="J64:M64"/>
    <mergeCell ref="B67:C67"/>
    <mergeCell ref="E67:G67"/>
    <mergeCell ref="J67:M67"/>
    <mergeCell ref="B62:C62"/>
    <mergeCell ref="E62:G62"/>
    <mergeCell ref="J62:M62"/>
    <mergeCell ref="B63:C63"/>
    <mergeCell ref="E63:G63"/>
    <mergeCell ref="J63:M63"/>
    <mergeCell ref="B65:M65"/>
    <mergeCell ref="B72:C72"/>
    <mergeCell ref="E72:G72"/>
    <mergeCell ref="J72:M72"/>
    <mergeCell ref="B73:C73"/>
    <mergeCell ref="E73:G73"/>
    <mergeCell ref="J73:M73"/>
    <mergeCell ref="B68:C68"/>
    <mergeCell ref="E68:G68"/>
    <mergeCell ref="J68:M68"/>
    <mergeCell ref="B69:C69"/>
    <mergeCell ref="E69:G69"/>
    <mergeCell ref="J69:M69"/>
    <mergeCell ref="B70:M70"/>
    <mergeCell ref="B76:C76"/>
    <mergeCell ref="E76:G76"/>
    <mergeCell ref="J76:M76"/>
    <mergeCell ref="B77:C77"/>
    <mergeCell ref="E77:G77"/>
    <mergeCell ref="J77:M77"/>
    <mergeCell ref="B74:C74"/>
    <mergeCell ref="E74:G74"/>
    <mergeCell ref="J74:M74"/>
    <mergeCell ref="B75:C75"/>
    <mergeCell ref="E75:G75"/>
    <mergeCell ref="J75:M75"/>
    <mergeCell ref="B82:C82"/>
    <mergeCell ref="E82:G82"/>
    <mergeCell ref="J82:M82"/>
    <mergeCell ref="B83:C83"/>
    <mergeCell ref="E83:G83"/>
    <mergeCell ref="J83:M83"/>
    <mergeCell ref="B78:C78"/>
    <mergeCell ref="E78:G78"/>
    <mergeCell ref="J78:M78"/>
    <mergeCell ref="B81:C81"/>
    <mergeCell ref="E81:G81"/>
    <mergeCell ref="J81:M81"/>
    <mergeCell ref="B79:M79"/>
    <mergeCell ref="B91:C91"/>
    <mergeCell ref="E91:G91"/>
    <mergeCell ref="J91:M91"/>
    <mergeCell ref="B92:C92"/>
    <mergeCell ref="E92:G92"/>
    <mergeCell ref="J92:M92"/>
    <mergeCell ref="B89:C89"/>
    <mergeCell ref="E89:G89"/>
    <mergeCell ref="J89:M89"/>
    <mergeCell ref="B90:C90"/>
    <mergeCell ref="E90:G90"/>
    <mergeCell ref="J90:M90"/>
    <mergeCell ref="B87:C87"/>
    <mergeCell ref="E87:G87"/>
    <mergeCell ref="J87:M87"/>
    <mergeCell ref="B88:C88"/>
    <mergeCell ref="E88:G88"/>
    <mergeCell ref="J88:M88"/>
    <mergeCell ref="B84:C84"/>
    <mergeCell ref="E84:G84"/>
    <mergeCell ref="J84:M84"/>
    <mergeCell ref="B86:C86"/>
    <mergeCell ref="E86:G86"/>
    <mergeCell ref="J86:M86"/>
  </mergeCells>
  <conditionalFormatting sqref="H35">
    <cfRule type="iconSet" priority="196">
      <iconSet iconSet="3Arrows">
        <cfvo type="percent" val="0"/>
        <cfvo type="num" val="0"/>
        <cfvo type="num" val="0" gte="0"/>
      </iconSet>
    </cfRule>
  </conditionalFormatting>
  <conditionalFormatting sqref="H42:H43">
    <cfRule type="iconSet" priority="187">
      <iconSet iconSet="3Arrows">
        <cfvo type="percent" val="0"/>
        <cfvo type="num" val="0"/>
        <cfvo type="num" val="0" gte="0"/>
      </iconSet>
    </cfRule>
  </conditionalFormatting>
  <conditionalFormatting sqref="H47">
    <cfRule type="iconSet" priority="164">
      <iconSet iconSet="3Arrows">
        <cfvo type="percent" val="0"/>
        <cfvo type="num" val="0"/>
        <cfvo type="num" val="0" gte="0"/>
      </iconSet>
    </cfRule>
  </conditionalFormatting>
  <conditionalFormatting sqref="H49">
    <cfRule type="iconSet" priority="161">
      <iconSet iconSet="3Arrows">
        <cfvo type="percent" val="0"/>
        <cfvo type="num" val="0"/>
        <cfvo type="num" val="0" gte="0"/>
      </iconSet>
    </cfRule>
  </conditionalFormatting>
  <conditionalFormatting sqref="H50">
    <cfRule type="iconSet" priority="158">
      <iconSet iconSet="3Arrows">
        <cfvo type="percent" val="0"/>
        <cfvo type="num" val="0"/>
        <cfvo type="num" val="0" gte="0"/>
      </iconSet>
    </cfRule>
  </conditionalFormatting>
  <conditionalFormatting sqref="H45">
    <cfRule type="iconSet" priority="152">
      <iconSet iconSet="3Arrows">
        <cfvo type="percent" val="0"/>
        <cfvo type="num" val="0"/>
        <cfvo type="num" val="0" gte="0"/>
      </iconSet>
    </cfRule>
  </conditionalFormatting>
  <conditionalFormatting sqref="H84">
    <cfRule type="iconSet" priority="129">
      <iconSet iconSet="3Arrows">
        <cfvo type="percent" val="0"/>
        <cfvo type="num" val="0"/>
        <cfvo type="num" val="0" gte="0"/>
      </iconSet>
    </cfRule>
  </conditionalFormatting>
  <conditionalFormatting sqref="H88">
    <cfRule type="iconSet" priority="116">
      <iconSet iconSet="3Arrows">
        <cfvo type="percent" val="0"/>
        <cfvo type="num" val="0"/>
        <cfvo type="num" val="0" gte="0"/>
      </iconSet>
    </cfRule>
  </conditionalFormatting>
  <conditionalFormatting sqref="H89">
    <cfRule type="iconSet" priority="109">
      <iconSet iconSet="3Arrows">
        <cfvo type="percent" val="0"/>
        <cfvo type="num" val="0"/>
        <cfvo type="num" val="0" gte="0"/>
      </iconSet>
    </cfRule>
  </conditionalFormatting>
  <conditionalFormatting sqref="H90">
    <cfRule type="iconSet" priority="105">
      <iconSet iconSet="3Arrows">
        <cfvo type="percent" val="0"/>
        <cfvo type="num" val="0"/>
        <cfvo type="num" val="0" gte="0"/>
      </iconSet>
    </cfRule>
  </conditionalFormatting>
  <conditionalFormatting sqref="H54">
    <cfRule type="iconSet" priority="95">
      <iconSet iconSet="3Arrows">
        <cfvo type="percent" val="0"/>
        <cfvo type="num" val="0"/>
        <cfvo type="num" val="0" gte="0"/>
      </iconSet>
    </cfRule>
  </conditionalFormatting>
  <conditionalFormatting sqref="H77">
    <cfRule type="iconSet" priority="85">
      <iconSet iconSet="3Arrows">
        <cfvo type="percent" val="0"/>
        <cfvo type="num" val="0"/>
        <cfvo type="num" val="0" gte="0"/>
      </iconSet>
    </cfRule>
  </conditionalFormatting>
  <conditionalFormatting sqref="H32">
    <cfRule type="iconSet" priority="64">
      <iconSet iconSet="3Arrows">
        <cfvo type="percent" val="0"/>
        <cfvo type="num" val="0"/>
        <cfvo type="num" val="0" gte="0"/>
      </iconSet>
    </cfRule>
  </conditionalFormatting>
  <conditionalFormatting sqref="H36">
    <cfRule type="iconSet" priority="48">
      <iconSet iconSet="3Arrows">
        <cfvo type="percent" val="0"/>
        <cfvo type="num" val="0"/>
        <cfvo type="num" val="0" gte="0"/>
      </iconSet>
    </cfRule>
  </conditionalFormatting>
  <conditionalFormatting sqref="H38:H39">
    <cfRule type="iconSet" priority="44">
      <iconSet iconSet="3Arrows">
        <cfvo type="percent" val="0"/>
        <cfvo type="num" val="0"/>
        <cfvo type="num" val="0" gte="0"/>
      </iconSet>
    </cfRule>
  </conditionalFormatting>
  <conditionalFormatting sqref="H62">
    <cfRule type="iconSet" priority="42">
      <iconSet iconSet="3Arrows">
        <cfvo type="percent" val="0"/>
        <cfvo type="num" val="0"/>
        <cfvo type="num" val="0" gte="0"/>
      </iconSet>
    </cfRule>
  </conditionalFormatting>
  <conditionalFormatting sqref="H63">
    <cfRule type="iconSet" priority="40">
      <iconSet iconSet="3Arrows">
        <cfvo type="percent" val="0"/>
        <cfvo type="num" val="0"/>
        <cfvo type="num" val="0" gte="0"/>
      </iconSet>
    </cfRule>
  </conditionalFormatting>
  <conditionalFormatting sqref="H68">
    <cfRule type="iconSet" priority="34">
      <iconSet iconSet="3Arrows">
        <cfvo type="percent" val="0"/>
        <cfvo type="num" val="0"/>
        <cfvo type="num" val="0" gte="0"/>
      </iconSet>
    </cfRule>
  </conditionalFormatting>
  <conditionalFormatting sqref="H81">
    <cfRule type="iconSet" priority="32">
      <iconSet iconSet="3Arrows">
        <cfvo type="percent" val="0"/>
        <cfvo type="num" val="0"/>
        <cfvo type="num" val="0" gte="0"/>
      </iconSet>
    </cfRule>
  </conditionalFormatting>
  <conditionalFormatting sqref="H82">
    <cfRule type="iconSet" priority="30">
      <iconSet iconSet="3Arrows">
        <cfvo type="percent" val="0"/>
        <cfvo type="num" val="0"/>
        <cfvo type="num" val="0" gte="0"/>
      </iconSet>
    </cfRule>
  </conditionalFormatting>
  <conditionalFormatting sqref="H83">
    <cfRule type="iconSet" priority="28">
      <iconSet iconSet="3Arrows">
        <cfvo type="percent" val="0"/>
        <cfvo type="num" val="0"/>
        <cfvo type="num" val="0" gte="0"/>
      </iconSet>
    </cfRule>
  </conditionalFormatting>
  <conditionalFormatting sqref="H86">
    <cfRule type="iconSet" priority="26">
      <iconSet iconSet="3Arrows">
        <cfvo type="percent" val="0"/>
        <cfvo type="num" val="0"/>
        <cfvo type="num" val="0" gte="0"/>
      </iconSet>
    </cfRule>
  </conditionalFormatting>
  <conditionalFormatting sqref="H87">
    <cfRule type="iconSet" priority="24">
      <iconSet iconSet="3Arrows">
        <cfvo type="percent" val="0"/>
        <cfvo type="num" val="0"/>
        <cfvo type="num" val="0" gte="0"/>
      </iconSet>
    </cfRule>
  </conditionalFormatting>
  <conditionalFormatting sqref="H74">
    <cfRule type="iconSet" priority="22">
      <iconSet iconSet="3Arrows">
        <cfvo type="percent" val="0"/>
        <cfvo type="num" val="0"/>
        <cfvo type="num" val="0" gte="0"/>
      </iconSet>
    </cfRule>
  </conditionalFormatting>
  <conditionalFormatting sqref="H76">
    <cfRule type="iconSet" priority="20">
      <iconSet iconSet="3Arrows">
        <cfvo type="percent" val="0"/>
        <cfvo type="num" val="0"/>
        <cfvo type="num" val="0" gte="0"/>
      </iconSet>
    </cfRule>
  </conditionalFormatting>
  <conditionalFormatting sqref="H26">
    <cfRule type="iconSet" priority="18">
      <iconSet iconSet="3Arrows">
        <cfvo type="percent" val="0"/>
        <cfvo type="num" val="0"/>
        <cfvo type="num" val="0" gte="0"/>
      </iconSet>
    </cfRule>
  </conditionalFormatting>
  <conditionalFormatting sqref="H28">
    <cfRule type="iconSet" priority="16">
      <iconSet iconSet="3Arrows">
        <cfvo type="percent" val="0"/>
        <cfvo type="num" val="0"/>
        <cfvo type="num" val="0" gte="0"/>
      </iconSet>
    </cfRule>
  </conditionalFormatting>
  <conditionalFormatting sqref="H40">
    <cfRule type="iconSet" priority="14">
      <iconSet iconSet="3Arrows">
        <cfvo type="percent" val="0"/>
        <cfvo type="num" val="0"/>
        <cfvo type="num" val="0" gte="0"/>
      </iconSet>
    </cfRule>
  </conditionalFormatting>
  <conditionalFormatting sqref="H44">
    <cfRule type="iconSet" priority="12">
      <iconSet iconSet="3Arrows">
        <cfvo type="percent" val="0"/>
        <cfvo type="num" val="0"/>
        <cfvo type="num" val="0" gte="0"/>
      </iconSet>
    </cfRule>
  </conditionalFormatting>
  <conditionalFormatting sqref="H51">
    <cfRule type="iconSet" priority="10">
      <iconSet iconSet="3Arrows">
        <cfvo type="percent" val="0"/>
        <cfvo type="num" val="0"/>
        <cfvo type="num" val="0" gte="0"/>
      </iconSet>
    </cfRule>
  </conditionalFormatting>
  <conditionalFormatting sqref="H57">
    <cfRule type="iconSet" priority="8">
      <iconSet iconSet="3Arrows">
        <cfvo type="percent" val="0"/>
        <cfvo type="num" val="0"/>
        <cfvo type="num" val="0" gte="0"/>
      </iconSet>
    </cfRule>
  </conditionalFormatting>
  <conditionalFormatting sqref="H59">
    <cfRule type="iconSet" priority="6">
      <iconSet iconSet="3Arrows">
        <cfvo type="percent" val="0"/>
        <cfvo type="num" val="0"/>
        <cfvo type="num" val="0" gte="0"/>
      </iconSet>
    </cfRule>
  </conditionalFormatting>
  <conditionalFormatting sqref="H64">
    <cfRule type="iconSet" priority="4">
      <iconSet iconSet="3Arrows">
        <cfvo type="percent" val="0"/>
        <cfvo type="num" val="0"/>
        <cfvo type="num" val="0" gte="0"/>
      </iconSet>
    </cfRule>
  </conditionalFormatting>
  <conditionalFormatting sqref="H61">
    <cfRule type="iconSet" priority="2">
      <iconSet iconSet="3Arrows">
        <cfvo type="percent" val="0"/>
        <cfvo type="num" val="0"/>
        <cfvo type="num" val="0" gte="0"/>
      </iconSet>
    </cfRule>
  </conditionalFormatting>
  <dataValidations xWindow="144" yWindow="476" count="19">
    <dataValidation allowBlank="1" showInputMessage="1" showErrorMessage="1" prompt="Navigation link to Financial Data Input worksheet" sqref="D13:H13 J13:M13"/>
    <dataValidation allowBlank="1" showErrorMessage="1" prompt="5 Year Trend line is automatically updated in this column under this heading" sqref="J17:M17 J53:M53 J23:M23 J29:M29 J15:M15 J34:M34 J41:M41 J85:M85 J66:M66 J71:M71 J80:M80 J60:M60"/>
    <dataValidation allowBlank="1" showErrorMessage="1" prompt="Percent Change and icon are automatically updated in this column under this heading" sqref="H53 H23 H29 H15 H34 H41 H17 H66 H71 H80 H85 H60"/>
    <dataValidation allowBlank="1" showErrorMessage="1" prompt="Previous Year figures are automatically updated in this column under this heading" sqref="E17 E53 E23 E29 E15 E34 E41 E85 E66 E71 E80 E60"/>
    <dataValidation allowBlank="1" showErrorMessage="1" prompt="Report Year figures are automatically updated in this column under this heading" sqref="D17 D53 D23 D29 D15 D34 D41 D85 D66 D71 D80 D60"/>
    <dataValidation allowBlank="1" showErrorMessage="1" prompt="Metrics are automatically updated in this column under this heading" sqref="B15:B17 B52:B53 B23 B29 B33:B34 B41 B85 B65:B66 B70:B71 B79:B80 B60"/>
    <dataValidation allowBlank="1" showErrorMessage="1" prompt="All Metrics data will automatically be updated in table starting in cell B15" sqref="B13:C13"/>
    <dataValidation allowBlank="1" showErrorMessage="1" prompt="Operating Profit is automatically updated in this cell and growth percent in cell below" sqref="K8:M8"/>
    <dataValidation allowBlank="1" showErrorMessage="1" prompt="Depreciation amount is automatically updated in this cell and growth percent in cell below" sqref="H8"/>
    <dataValidation allowBlank="1" showErrorMessage="1" prompt="Interest is automatically updated in this cell and growth percent in cell below" sqref="F8"/>
    <dataValidation allowBlank="1" showErrorMessage="1" prompt="Net Profit is automatically updated in this cell and growth percent in cell below" sqref="D8"/>
    <dataValidation allowBlank="1" showErrorMessage="1" prompt="Growth percent is automatically updated in this cell and sparkline in cell below" sqref="B9 D9 F9 K9:M9 H9"/>
    <dataValidation allowBlank="1" showErrorMessage="1" prompt="Total Revenue is automatically updated in this cell and growth percent in cell below" sqref="B8"/>
    <dataValidation allowBlank="1" showInputMessage="1" showErrorMessage="1" prompt="Navigation link to Key Metric Settings worksheet" sqref="D5:H5 J5:N5"/>
    <dataValidation allowBlank="1" showErrorMessage="1" prompt="Select cell at right to navigate to Key Metric Settings worksheet" sqref="B5:C5"/>
    <dataValidation allowBlank="1" showErrorMessage="1" prompt="Enter Company Name in this cell" sqref="B3:H4 J3:M4"/>
    <dataValidation allowBlank="1" showErrorMessage="1" prompt="Create Annual Financial Report in this workbook. Select year in cell K2 in this worksheet, D5 to navigate to Key Metric worksheet and D13 to navigate to Financial Data worksheet" sqref="A1"/>
    <dataValidation type="list" errorStyle="warning" allowBlank="1" showInputMessage="1" showErrorMessage="1" error="Select Year from the list. Select CANCEL, press ALT+DOWN ARROW for options, then DOWN ARROW and ENTER to make selection" prompt="Select Year in this cell. Use down arrow and click on year to make selection. " sqref="L2:M2">
      <formula1>lstYears</formula1>
    </dataValidation>
    <dataValidation allowBlank="1" showErrorMessage="1" prompt="Title of this worksheet is in this cell. Enter Company Name in cell below and select report year in cell at right. Tip is in cell N2 and N3" sqref="B2 C1:H1 J1:K1"/>
  </dataValidations>
  <printOptions horizontalCentered="1"/>
  <pageMargins left="0.25" right="0.25" top="0.25" bottom="0.25" header="0.3" footer="0.05"/>
  <pageSetup paperSize="5" scale="62" fitToHeight="0" orientation="portrait" r:id="rId1"/>
  <customProperties>
    <customPr name="EpmWorksheetKeyString_GUID" r:id="rId2"/>
  </customProperties>
  <extLst>
    <ext xmlns:x14="http://schemas.microsoft.com/office/spreadsheetml/2009/9/main" uri="{78C0D931-6437-407d-A8EE-F0AAD7539E65}">
      <x14:conditionalFormattings>
        <x14:conditionalFormatting xmlns:xm="http://schemas.microsoft.com/office/excel/2006/main">
          <x14:cfRule type="iconSet" priority="282" id="{3FD865B3-78DB-4295-8420-F23AE73E79E8}">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H56 H30 H46 H48 H75 H78 H91:H92 H24:H25 H27 H72:H73 H20 H22 H18 H58</xm:sqref>
        </x14:conditionalFormatting>
        <x14:conditionalFormatting xmlns:xm="http://schemas.microsoft.com/office/excel/2006/main">
          <x14:cfRule type="iconSet" priority="280" id="{8C62CF3C-0E57-4E34-A17C-821F111E09B3}">
            <x14:iconSet iconSet="3Arrows" custom="1">
              <x14:cfvo type="percent">
                <xm:f>0</xm:f>
              </x14:cfvo>
              <x14:cfvo type="num">
                <xm:f>0</xm:f>
              </x14:cfvo>
              <x14:cfvo type="num" gte="0">
                <xm:f>0</xm:f>
              </x14:cfvo>
              <x14:cfIcon iconSet="3ArrowsGray" iconId="0"/>
              <x14:cfIcon iconSet="3ArrowsGray" iconId="1"/>
              <x14:cfIcon iconSet="3ArrowsGray" iconId="2"/>
            </x14:iconSet>
          </x14:cfRule>
          <xm:sqref>K9 D9 H9 F9 B9</xm:sqref>
        </x14:conditionalFormatting>
        <x14:conditionalFormatting xmlns:xm="http://schemas.microsoft.com/office/excel/2006/main">
          <x14:cfRule type="iconSet" priority="281" id="{7985D6FD-1DCD-4FE1-86E2-34A1946E36FD}">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H55:H56 H30 H46 H48 H75 H78 H91:H92 H24:H25 H27 H72:H73 H20 H22 H18 H58</xm:sqref>
        </x14:conditionalFormatting>
        <x14:conditionalFormatting xmlns:xm="http://schemas.microsoft.com/office/excel/2006/main">
          <x14:cfRule type="iconSet" priority="195" id="{0D45E1A6-F4FC-4EC5-B781-FAE327350159}">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H35</xm:sqref>
        </x14:conditionalFormatting>
        <x14:conditionalFormatting xmlns:xm="http://schemas.microsoft.com/office/excel/2006/main">
          <x14:cfRule type="iconSet" priority="186" id="{29C41DDB-17ED-41C9-8F43-0C1E4A309BBE}">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H42:H43</xm:sqref>
        </x14:conditionalFormatting>
        <x14:conditionalFormatting xmlns:xm="http://schemas.microsoft.com/office/excel/2006/main">
          <x14:cfRule type="iconSet" priority="163" id="{11FF27EC-4874-43B6-AD14-59445534ECEC}">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H47</xm:sqref>
        </x14:conditionalFormatting>
        <x14:conditionalFormatting xmlns:xm="http://schemas.microsoft.com/office/excel/2006/main">
          <x14:cfRule type="iconSet" priority="160" id="{B85D21DA-257E-4914-9F86-4859E52AC700}">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H49</xm:sqref>
        </x14:conditionalFormatting>
        <x14:conditionalFormatting xmlns:xm="http://schemas.microsoft.com/office/excel/2006/main">
          <x14:cfRule type="iconSet" priority="157" id="{2507BABF-92D2-4D22-A4DE-EDE6C002D3EE}">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H50</xm:sqref>
        </x14:conditionalFormatting>
        <x14:conditionalFormatting xmlns:xm="http://schemas.microsoft.com/office/excel/2006/main">
          <x14:cfRule type="iconSet" priority="151" id="{2802277D-ADBA-457C-A4E2-303264DD0A6F}">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H45</xm:sqref>
        </x14:conditionalFormatting>
        <x14:conditionalFormatting xmlns:xm="http://schemas.microsoft.com/office/excel/2006/main">
          <x14:cfRule type="iconSet" priority="128" id="{392BFCF9-57F7-43A3-ACA6-7D9CFE534621}">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H84</xm:sqref>
        </x14:conditionalFormatting>
        <x14:conditionalFormatting xmlns:xm="http://schemas.microsoft.com/office/excel/2006/main">
          <x14:cfRule type="iconSet" priority="115" id="{F9FB2876-D5B9-45A8-88E6-7A5C6ED24D5B}">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H88</xm:sqref>
        </x14:conditionalFormatting>
        <x14:conditionalFormatting xmlns:xm="http://schemas.microsoft.com/office/excel/2006/main">
          <x14:cfRule type="iconSet" priority="108" id="{5C3B2FC0-E946-47E1-863A-986BF9439054}">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H89</xm:sqref>
        </x14:conditionalFormatting>
        <x14:conditionalFormatting xmlns:xm="http://schemas.microsoft.com/office/excel/2006/main">
          <x14:cfRule type="iconSet" priority="104" id="{E03C58B6-A829-49D7-A53A-2F8A0A9133CB}">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H90</xm:sqref>
        </x14:conditionalFormatting>
        <x14:conditionalFormatting xmlns:xm="http://schemas.microsoft.com/office/excel/2006/main">
          <x14:cfRule type="iconSet" priority="94" id="{E502C419-61ED-42A9-AB15-2A71AE8153A7}">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H54</xm:sqref>
        </x14:conditionalFormatting>
        <x14:conditionalFormatting xmlns:xm="http://schemas.microsoft.com/office/excel/2006/main">
          <x14:cfRule type="iconSet" priority="84" id="{768A3D60-83A2-4107-8674-10212A2F6186}">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H77</xm:sqref>
        </x14:conditionalFormatting>
        <x14:conditionalFormatting xmlns:xm="http://schemas.microsoft.com/office/excel/2006/main">
          <x14:cfRule type="iconSet" priority="63" id="{7075AEE6-CB73-4CB8-AF2C-F10FD63EFA79}">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H32</xm:sqref>
        </x14:conditionalFormatting>
        <x14:conditionalFormatting xmlns:xm="http://schemas.microsoft.com/office/excel/2006/main">
          <x14:cfRule type="iconSet" priority="54" id="{0BB1A8FF-9259-478F-9D6F-3ECFC7A0171D}">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H31</xm:sqref>
        </x14:conditionalFormatting>
        <x14:conditionalFormatting xmlns:xm="http://schemas.microsoft.com/office/excel/2006/main">
          <x14:cfRule type="iconSet" priority="53" id="{5C425505-F981-456B-9717-7A2ABE267ED0}">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H31</xm:sqref>
        </x14:conditionalFormatting>
        <x14:conditionalFormatting xmlns:xm="http://schemas.microsoft.com/office/excel/2006/main">
          <x14:cfRule type="iconSet" priority="52" id="{9229E8BA-A46C-416C-B043-713158607E71}">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H19</xm:sqref>
        </x14:conditionalFormatting>
        <x14:conditionalFormatting xmlns:xm="http://schemas.microsoft.com/office/excel/2006/main">
          <x14:cfRule type="iconSet" priority="51" id="{29D54AA2-CA38-4A05-9879-EF3408E9B125}">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H19</xm:sqref>
        </x14:conditionalFormatting>
        <x14:conditionalFormatting xmlns:xm="http://schemas.microsoft.com/office/excel/2006/main">
          <x14:cfRule type="iconSet" priority="50" id="{E4AF8526-35BE-4824-A011-0916E78C2ECA}">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H21</xm:sqref>
        </x14:conditionalFormatting>
        <x14:conditionalFormatting xmlns:xm="http://schemas.microsoft.com/office/excel/2006/main">
          <x14:cfRule type="iconSet" priority="49" id="{CE9F16D4-A2AD-4FC5-B6B3-E50EAED268A0}">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H21</xm:sqref>
        </x14:conditionalFormatting>
        <x14:conditionalFormatting xmlns:xm="http://schemas.microsoft.com/office/excel/2006/main">
          <x14:cfRule type="iconSet" priority="47" id="{18D595A7-B2BA-4330-8906-6C1A5FF4F9EA}">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H36</xm:sqref>
        </x14:conditionalFormatting>
        <x14:conditionalFormatting xmlns:xm="http://schemas.microsoft.com/office/excel/2006/main">
          <x14:cfRule type="iconSet" priority="46" id="{0B54AEF5-08C1-4052-9CA2-6C941B08696F}">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H37</xm:sqref>
        </x14:conditionalFormatting>
        <x14:conditionalFormatting xmlns:xm="http://schemas.microsoft.com/office/excel/2006/main">
          <x14:cfRule type="iconSet" priority="45" id="{332806BD-779C-44F9-972C-A60291B2CC93}">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H37</xm:sqref>
        </x14:conditionalFormatting>
        <x14:conditionalFormatting xmlns:xm="http://schemas.microsoft.com/office/excel/2006/main">
          <x14:cfRule type="iconSet" priority="43" id="{093F38B9-3243-4B50-B766-127D8A7B79BC}">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H38:H39</xm:sqref>
        </x14:conditionalFormatting>
        <x14:conditionalFormatting xmlns:xm="http://schemas.microsoft.com/office/excel/2006/main">
          <x14:cfRule type="iconSet" priority="41" id="{D6F502FA-BDBF-4B31-A3FA-A7AD0D4A111F}">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H62</xm:sqref>
        </x14:conditionalFormatting>
        <x14:conditionalFormatting xmlns:xm="http://schemas.microsoft.com/office/excel/2006/main">
          <x14:cfRule type="iconSet" priority="39" id="{283BCA70-7236-4F60-84C6-42FF5D520D49}">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H63</xm:sqref>
        </x14:conditionalFormatting>
        <x14:conditionalFormatting xmlns:xm="http://schemas.microsoft.com/office/excel/2006/main">
          <x14:cfRule type="iconSet" priority="38" id="{35253FF9-9805-4439-ACEB-59642DB8716D}">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H67</xm:sqref>
        </x14:conditionalFormatting>
        <x14:conditionalFormatting xmlns:xm="http://schemas.microsoft.com/office/excel/2006/main">
          <x14:cfRule type="iconSet" priority="37" id="{F1DB40C7-E8FE-441C-B516-A4E9AB668644}">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H67</xm:sqref>
        </x14:conditionalFormatting>
        <x14:conditionalFormatting xmlns:xm="http://schemas.microsoft.com/office/excel/2006/main">
          <x14:cfRule type="iconSet" priority="36" id="{BF25D552-E8E1-49E9-BB27-CEBCE74AA363}">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H69</xm:sqref>
        </x14:conditionalFormatting>
        <x14:conditionalFormatting xmlns:xm="http://schemas.microsoft.com/office/excel/2006/main">
          <x14:cfRule type="iconSet" priority="35" id="{31FB6C7A-8C2E-4950-8589-68933CA7D03B}">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H69</xm:sqref>
        </x14:conditionalFormatting>
        <x14:conditionalFormatting xmlns:xm="http://schemas.microsoft.com/office/excel/2006/main">
          <x14:cfRule type="iconSet" priority="33" id="{34BCF630-73E1-450F-B03F-1D16A6331957}">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H68</xm:sqref>
        </x14:conditionalFormatting>
        <x14:conditionalFormatting xmlns:xm="http://schemas.microsoft.com/office/excel/2006/main">
          <x14:cfRule type="iconSet" priority="31" id="{F6F7D727-CB9C-4478-8811-B2DEB6DD211C}">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H81</xm:sqref>
        </x14:conditionalFormatting>
        <x14:conditionalFormatting xmlns:xm="http://schemas.microsoft.com/office/excel/2006/main">
          <x14:cfRule type="iconSet" priority="29" id="{7C9217BC-6DE0-485E-A741-BDC48AE35FD5}">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H82</xm:sqref>
        </x14:conditionalFormatting>
        <x14:conditionalFormatting xmlns:xm="http://schemas.microsoft.com/office/excel/2006/main">
          <x14:cfRule type="iconSet" priority="27" id="{F1C19D8E-797F-4DA9-9ED5-A1F5034CD5E6}">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H83</xm:sqref>
        </x14:conditionalFormatting>
        <x14:conditionalFormatting xmlns:xm="http://schemas.microsoft.com/office/excel/2006/main">
          <x14:cfRule type="iconSet" priority="25" id="{8D45E84D-40D1-4E09-8989-452791E768B8}">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H86</xm:sqref>
        </x14:conditionalFormatting>
        <x14:conditionalFormatting xmlns:xm="http://schemas.microsoft.com/office/excel/2006/main">
          <x14:cfRule type="iconSet" priority="23" id="{4DDF9462-9AE7-410E-91A9-BCD50775BF0E}">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H87</xm:sqref>
        </x14:conditionalFormatting>
        <x14:conditionalFormatting xmlns:xm="http://schemas.microsoft.com/office/excel/2006/main">
          <x14:cfRule type="iconSet" priority="21" id="{C2CF551E-E839-48AA-88C3-935D5369BE33}">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H74</xm:sqref>
        </x14:conditionalFormatting>
        <x14:conditionalFormatting xmlns:xm="http://schemas.microsoft.com/office/excel/2006/main">
          <x14:cfRule type="iconSet" priority="19" id="{EB7B1DAD-D533-48D3-9900-06FF13362709}">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H76</xm:sqref>
        </x14:conditionalFormatting>
        <x14:conditionalFormatting xmlns:xm="http://schemas.microsoft.com/office/excel/2006/main">
          <x14:cfRule type="iconSet" priority="17" id="{4BA38031-C7CD-4492-8238-ED821A25B01C}">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H26</xm:sqref>
        </x14:conditionalFormatting>
        <x14:conditionalFormatting xmlns:xm="http://schemas.microsoft.com/office/excel/2006/main">
          <x14:cfRule type="iconSet" priority="15" id="{70AFE98E-6FD1-40C8-86C4-A13EE83A06B2}">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H28</xm:sqref>
        </x14:conditionalFormatting>
        <x14:conditionalFormatting xmlns:xm="http://schemas.microsoft.com/office/excel/2006/main">
          <x14:cfRule type="iconSet" priority="13" id="{12A610AF-4BEB-4A02-AF44-E56FF814FF1F}">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H40</xm:sqref>
        </x14:conditionalFormatting>
        <x14:conditionalFormatting xmlns:xm="http://schemas.microsoft.com/office/excel/2006/main">
          <x14:cfRule type="iconSet" priority="11" id="{870B62C8-087B-4C77-8684-998546912B02}">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H44</xm:sqref>
        </x14:conditionalFormatting>
        <x14:conditionalFormatting xmlns:xm="http://schemas.microsoft.com/office/excel/2006/main">
          <x14:cfRule type="iconSet" priority="9" id="{5F6CE404-F376-4B1B-89E2-960A867D35D7}">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H51</xm:sqref>
        </x14:conditionalFormatting>
        <x14:conditionalFormatting xmlns:xm="http://schemas.microsoft.com/office/excel/2006/main">
          <x14:cfRule type="iconSet" priority="7" id="{F47594E9-16E8-4D50-9361-3615C44B215F}">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H57</xm:sqref>
        </x14:conditionalFormatting>
        <x14:conditionalFormatting xmlns:xm="http://schemas.microsoft.com/office/excel/2006/main">
          <x14:cfRule type="iconSet" priority="5" id="{B64941DA-1D64-4D2D-B5A0-87386BCAC7A1}">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H59</xm:sqref>
        </x14:conditionalFormatting>
        <x14:conditionalFormatting xmlns:xm="http://schemas.microsoft.com/office/excel/2006/main">
          <x14:cfRule type="iconSet" priority="3" id="{2485010A-DFC7-4C08-BA15-55BB5E36841C}">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H64</xm:sqref>
        </x14:conditionalFormatting>
        <x14:conditionalFormatting xmlns:xm="http://schemas.microsoft.com/office/excel/2006/main">
          <x14:cfRule type="iconSet" priority="1" id="{4164F9C0-6C1C-4C9B-8543-C4A5A6D14E49}">
            <x14:iconSet iconSet="3Arrows" custom="1">
              <x14:cfvo type="percent">
                <xm:f>0</xm:f>
              </x14:cfvo>
              <x14:cfvo type="num">
                <xm:f>0</xm:f>
              </x14:cfvo>
              <x14:cfvo type="num" gte="0">
                <xm:f>0</xm:f>
              </x14:cfvo>
              <x14:cfIcon iconSet="3ArrowsGray" iconId="0"/>
              <x14:cfIcon iconSet="3ArrowsGray" iconId="1"/>
              <x14:cfIcon iconSet="3ArrowsGray" iconId="2"/>
            </x14:iconSet>
          </x14:cfRule>
          <xm:sqref>H61</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first="1" last="1">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Calculations!C8:G8</xm:f>
              <xm:sqref>B10</xm:sqref>
            </x14:sparkline>
            <x14:sparkline>
              <xm:f>Calculations!C9:G9</xm:f>
              <xm:sqref>D10</xm:sqref>
            </x14:sparkline>
            <x14:sparkline>
              <xm:f>Calculations!C10:G10</xm:f>
              <xm:sqref>F10</xm:sqref>
            </x14:sparkline>
            <x14:sparkline>
              <xm:f>Calculations!C11:G11</xm:f>
              <xm:sqref>H10</xm:sqref>
            </x14:sparkline>
            <x14:sparkline>
              <xm:f>Calculations!C12:G12</xm:f>
              <xm:sqref>K10</xm:sqref>
            </x14:sparkline>
          </x14:sparklines>
        </x14:sparklineGroup>
        <x14:sparklineGroup markers="1">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Calculations!C15:G15</xm:f>
              <xm:sqref>J54</xm:sqref>
            </x14:sparkline>
            <x14:sparkline>
              <xm:f>Calculations!C16:G16</xm:f>
              <xm:sqref>J55</xm:sqref>
            </x14:sparkline>
            <x14:sparkline>
              <xm:f>Calculations!C17:G17</xm:f>
              <xm:sqref>J56</xm:sqref>
            </x14:sparkline>
            <x14:sparkline>
              <xm:f>Calculations!C18:G18</xm:f>
              <xm:sqref>J57</xm:sqref>
            </x14:sparkline>
            <x14:sparkline>
              <xm:f>Calculations!C19:G19</xm:f>
              <xm:sqref>J58</xm:sqref>
            </x14:sparkline>
            <x14:sparkline>
              <xm:f>Calculations!C20:G20</xm:f>
              <xm:sqref>J59</xm:sqref>
            </x14:sparkline>
            <x14:sparkline>
              <xm:f>Calculations!C21:G21</xm:f>
              <xm:sqref>J18</xm:sqref>
            </x14:sparkline>
            <x14:sparkline>
              <xm:f>Calculations!C22:G22</xm:f>
              <xm:sqref>J19</xm:sqref>
            </x14:sparkline>
            <x14:sparkline>
              <xm:f>Calculations!C23:G23</xm:f>
              <xm:sqref>J21</xm:sqref>
            </x14:sparkline>
            <x14:sparkline>
              <xm:f>Calculations!C24:G24</xm:f>
              <xm:sqref>J20</xm:sqref>
            </x14:sparkline>
            <x14:sparkline>
              <xm:f>Calculations!C25:G25</xm:f>
              <xm:sqref>J22</xm:sqref>
            </x14:sparkline>
            <x14:sparkline>
              <xm:f>Calculations!C26:G26</xm:f>
              <xm:sqref>J24</xm:sqref>
            </x14:sparkline>
            <x14:sparkline>
              <xm:f>Calculations!C27:G27</xm:f>
              <xm:sqref>J25</xm:sqref>
            </x14:sparkline>
            <x14:sparkline>
              <xm:f>Calculations!C28:G28</xm:f>
              <xm:sqref>J27</xm:sqref>
            </x14:sparkline>
            <x14:sparkline>
              <xm:f>Calculations!C29:G29</xm:f>
              <xm:sqref>J26</xm:sqref>
            </x14:sparkline>
            <x14:sparkline>
              <xm:f>Calculations!C30:G30</xm:f>
              <xm:sqref>J28</xm:sqref>
            </x14:sparkline>
            <x14:sparkline>
              <xm:f>Calculations!C31:G31</xm:f>
              <xm:sqref>J30</xm:sqref>
            </x14:sparkline>
            <x14:sparkline>
              <xm:f>Calculations!C32:G32</xm:f>
              <xm:sqref>J31</xm:sqref>
            </x14:sparkline>
            <x14:sparkline>
              <xm:f>Calculations!C33:G33</xm:f>
              <xm:sqref>J32</xm:sqref>
            </x14:sparkline>
            <x14:sparkline>
              <xm:f>Calculations!C34:G34</xm:f>
              <xm:sqref>J35</xm:sqref>
            </x14:sparkline>
            <x14:sparkline>
              <xm:f>Calculations!C35:G35</xm:f>
              <xm:sqref>J36</xm:sqref>
            </x14:sparkline>
            <x14:sparkline>
              <xm:f>Calculations!C36:G36</xm:f>
              <xm:sqref>J37</xm:sqref>
            </x14:sparkline>
            <x14:sparkline>
              <xm:f>Calculations!C37:G37</xm:f>
              <xm:sqref>J38</xm:sqref>
            </x14:sparkline>
            <x14:sparkline>
              <xm:f>Calculations!C38:G38</xm:f>
              <xm:sqref>J39</xm:sqref>
            </x14:sparkline>
            <x14:sparkline>
              <xm:f>Calculations!C39:G39</xm:f>
              <xm:sqref>J40</xm:sqref>
            </x14:sparkline>
            <x14:sparkline>
              <xm:f>Calculations!C40:G40</xm:f>
              <xm:sqref>J42</xm:sqref>
            </x14:sparkline>
            <x14:sparkline>
              <xm:f>Calculations!C41:G41</xm:f>
              <xm:sqref>J43</xm:sqref>
            </x14:sparkline>
            <x14:sparkline>
              <xm:f>Calculations!C42:G42</xm:f>
              <xm:sqref>J44</xm:sqref>
            </x14:sparkline>
            <x14:sparkline>
              <xm:f>Calculations!C43:G43</xm:f>
              <xm:sqref>J45</xm:sqref>
            </x14:sparkline>
            <x14:sparkline>
              <xm:f>Calculations!C44:G44</xm:f>
              <xm:sqref>J46</xm:sqref>
            </x14:sparkline>
            <x14:sparkline>
              <xm:f>Calculations!C45:G45</xm:f>
              <xm:sqref>J47</xm:sqref>
            </x14:sparkline>
            <x14:sparkline>
              <xm:f>Calculations!C46:G46</xm:f>
              <xm:sqref>J48</xm:sqref>
            </x14:sparkline>
            <x14:sparkline>
              <xm:f>Calculations!C47:G47</xm:f>
              <xm:sqref>J49</xm:sqref>
            </x14:sparkline>
            <x14:sparkline>
              <xm:f>Calculations!C48:G48</xm:f>
              <xm:sqref>J50</xm:sqref>
            </x14:sparkline>
            <x14:sparkline>
              <xm:f>Calculations!C49:G49</xm:f>
              <xm:sqref>J51</xm:sqref>
            </x14:sparkline>
            <x14:sparkline>
              <xm:f>Calculations!C50:G50</xm:f>
              <xm:sqref>J62</xm:sqref>
            </x14:sparkline>
            <x14:sparkline>
              <xm:f>Calculations!C51:G51</xm:f>
              <xm:sqref>J63</xm:sqref>
            </x14:sparkline>
            <x14:sparkline>
              <xm:f>Calculations!C52:G52</xm:f>
              <xm:sqref>J64</xm:sqref>
            </x14:sparkline>
            <x14:sparkline>
              <xm:f>Calculations!C53:G53</xm:f>
              <xm:sqref>J67</xm:sqref>
            </x14:sparkline>
            <x14:sparkline>
              <xm:f>Calculations!C54:G54</xm:f>
              <xm:sqref>J68</xm:sqref>
            </x14:sparkline>
            <x14:sparkline>
              <xm:f>Calculations!C55:G55</xm:f>
              <xm:sqref>J69</xm:sqref>
            </x14:sparkline>
            <x14:sparkline>
              <xm:f>Calculations!C56:G56</xm:f>
              <xm:sqref>J72</xm:sqref>
            </x14:sparkline>
            <x14:sparkline>
              <xm:f>Calculations!C57:G57</xm:f>
              <xm:sqref>J73</xm:sqref>
            </x14:sparkline>
            <x14:sparkline>
              <xm:f>Calculations!C58:G58</xm:f>
              <xm:sqref>J74</xm:sqref>
            </x14:sparkline>
            <x14:sparkline>
              <xm:f>Calculations!C59:G59</xm:f>
              <xm:sqref>J75</xm:sqref>
            </x14:sparkline>
            <x14:sparkline>
              <xm:f>Calculations!C60:G60</xm:f>
              <xm:sqref>J76</xm:sqref>
            </x14:sparkline>
            <x14:sparkline>
              <xm:f>Calculations!C61:G61</xm:f>
              <xm:sqref>J77</xm:sqref>
            </x14:sparkline>
            <x14:sparkline>
              <xm:f>Calculations!C62:G62</xm:f>
              <xm:sqref>J78</xm:sqref>
            </x14:sparkline>
            <x14:sparkline>
              <xm:f>Calculations!C63:G63</xm:f>
              <xm:sqref>J81</xm:sqref>
            </x14:sparkline>
            <x14:sparkline>
              <xm:f>Calculations!C64:G64</xm:f>
              <xm:sqref>J82</xm:sqref>
            </x14:sparkline>
            <x14:sparkline>
              <xm:f>Calculations!C65:G65</xm:f>
              <xm:sqref>J83</xm:sqref>
            </x14:sparkline>
            <x14:sparkline>
              <xm:f>Calculations!C71:G71</xm:f>
              <xm:sqref>J84</xm:sqref>
            </x14:sparkline>
            <x14:sparkline>
              <xm:f>Calculations!C66:G66</xm:f>
              <xm:sqref>J86</xm:sqref>
            </x14:sparkline>
            <x14:sparkline>
              <xm:f>Calculations!C67:G67</xm:f>
              <xm:sqref>J87</xm:sqref>
            </x14:sparkline>
            <x14:sparkline>
              <xm:f>Calculations!C68:G68</xm:f>
              <xm:sqref>J88</xm:sqref>
            </x14:sparkline>
            <x14:sparkline>
              <xm:f>Calculations!C69:G69</xm:f>
              <xm:sqref>J89</xm:sqref>
            </x14:sparkline>
            <x14:sparkline>
              <xm:f>Calculations!C70:G70</xm:f>
              <xm:sqref>J90</xm:sqref>
            </x14:sparkline>
            <x14:sparkline>
              <xm:f>Calculations!C72:G72</xm:f>
              <xm:sqref>J91</xm:sqref>
            </x14:sparkline>
            <x14:sparkline>
              <xm:f>Calculations!C73:G73</xm:f>
              <xm:sqref>J92</xm:sqref>
            </x14:sparkline>
          </x14:sparklines>
        </x14:sparklineGroup>
        <x14:sparklineGroup markers="1">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Calculations!C68:G68</xm:f>
              <xm:sqref>J61</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52"/>
  <sheetViews>
    <sheetView workbookViewId="0">
      <pane xSplit="1" ySplit="5" topLeftCell="B6"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2" max="7" width="5.28515625" customWidth="1"/>
    <col min="8" max="8" width="1.7109375" customWidth="1"/>
    <col min="9" max="14" width="5.28515625" customWidth="1"/>
    <col min="15" max="15" width="1.7109375" customWidth="1"/>
    <col min="16" max="21" width="5.28515625" customWidth="1"/>
    <col min="22" max="22" width="1.7109375" customWidth="1"/>
    <col min="23" max="28" width="5.28515625" customWidth="1"/>
    <col min="29" max="29" width="1.7109375" customWidth="1"/>
    <col min="30" max="35" width="5.28515625" customWidth="1"/>
    <col min="36" max="36" width="1.7109375" customWidth="1"/>
    <col min="37" max="42" width="5.28515625" customWidth="1"/>
    <col min="43" max="43" width="1.7109375" customWidth="1"/>
    <col min="44" max="49" width="5.28515625" customWidth="1"/>
    <col min="50" max="50" width="1.7109375" customWidth="1"/>
    <col min="51" max="56" width="5.28515625" customWidth="1"/>
    <col min="57" max="57" width="1.7109375" customWidth="1"/>
    <col min="58" max="63" width="5.28515625" customWidth="1"/>
    <col min="64" max="64" width="1.7109375" customWidth="1"/>
    <col min="65" max="66" width="5.28515625" customWidth="1"/>
  </cols>
  <sheetData>
    <row r="1" spans="1:69"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c r="AJ1" s="29">
        <v>36</v>
      </c>
      <c r="AK1" s="29">
        <v>37</v>
      </c>
      <c r="AL1" s="29">
        <v>38</v>
      </c>
      <c r="AM1" s="29">
        <v>39</v>
      </c>
      <c r="AN1" s="29">
        <v>40</v>
      </c>
      <c r="AO1" s="29">
        <v>41</v>
      </c>
      <c r="AP1" s="29">
        <v>42</v>
      </c>
      <c r="AQ1" s="29">
        <v>43</v>
      </c>
      <c r="AR1" s="29">
        <v>44</v>
      </c>
      <c r="AS1" s="29">
        <v>45</v>
      </c>
      <c r="AT1" s="29">
        <v>46</v>
      </c>
      <c r="AU1" s="29">
        <v>47</v>
      </c>
      <c r="AV1" s="29">
        <v>48</v>
      </c>
      <c r="AW1" s="29">
        <v>49</v>
      </c>
      <c r="AX1" s="29">
        <v>50</v>
      </c>
      <c r="AY1" s="29">
        <v>51</v>
      </c>
      <c r="AZ1" s="29">
        <v>52</v>
      </c>
      <c r="BA1" s="29">
        <v>53</v>
      </c>
      <c r="BB1" s="29">
        <v>54</v>
      </c>
      <c r="BC1" s="29">
        <v>55</v>
      </c>
      <c r="BD1" s="29">
        <v>56</v>
      </c>
      <c r="BE1" s="29">
        <v>57</v>
      </c>
      <c r="BF1" s="29">
        <v>58</v>
      </c>
      <c r="BG1" s="29">
        <v>59</v>
      </c>
      <c r="BH1" s="29">
        <v>60</v>
      </c>
      <c r="BI1" s="29">
        <v>61</v>
      </c>
      <c r="BJ1" s="29">
        <v>62</v>
      </c>
      <c r="BK1" s="29">
        <v>63</v>
      </c>
      <c r="BL1" s="29">
        <v>64</v>
      </c>
      <c r="BM1" s="29">
        <v>65</v>
      </c>
      <c r="BN1" s="29">
        <v>66</v>
      </c>
    </row>
    <row r="2" spans="1:69" ht="60.75" customHeight="1" x14ac:dyDescent="0.25">
      <c r="B2" s="48" t="s">
        <v>212</v>
      </c>
      <c r="C2" s="48"/>
      <c r="D2" s="48"/>
      <c r="E2" s="48"/>
      <c r="F2" s="48"/>
      <c r="G2" s="48"/>
      <c r="I2" s="48" t="s">
        <v>214</v>
      </c>
      <c r="J2" s="48"/>
      <c r="K2" s="48"/>
      <c r="L2" s="48"/>
      <c r="M2" s="48"/>
      <c r="N2" s="48"/>
      <c r="P2" s="48" t="s">
        <v>215</v>
      </c>
      <c r="Q2" s="48"/>
      <c r="R2" s="48"/>
      <c r="S2" s="48"/>
      <c r="T2" s="48"/>
      <c r="U2" s="48"/>
      <c r="W2" s="48" t="s">
        <v>217</v>
      </c>
      <c r="X2" s="48"/>
      <c r="Y2" s="48"/>
      <c r="Z2" s="48"/>
      <c r="AA2" s="48"/>
      <c r="AB2" s="48"/>
      <c r="AD2" s="48" t="s">
        <v>216</v>
      </c>
      <c r="AE2" s="48"/>
      <c r="AF2" s="48"/>
      <c r="AG2" s="48"/>
      <c r="AH2" s="48"/>
      <c r="AI2" s="48"/>
      <c r="AK2" s="291" t="s">
        <v>218</v>
      </c>
      <c r="AL2" s="291"/>
      <c r="AM2" s="291"/>
      <c r="AN2" s="291"/>
      <c r="AO2" s="291"/>
      <c r="AP2" s="291"/>
      <c r="AR2" s="48" t="s">
        <v>219</v>
      </c>
      <c r="AS2" s="48"/>
      <c r="AT2" s="48"/>
      <c r="AU2" s="48"/>
      <c r="AV2" s="291"/>
      <c r="AW2" s="48"/>
      <c r="AY2" s="291" t="s">
        <v>220</v>
      </c>
      <c r="AZ2" s="291"/>
      <c r="BA2" s="291"/>
      <c r="BB2" s="291"/>
      <c r="BC2" s="291"/>
      <c r="BD2" s="291"/>
      <c r="BF2" s="291" t="s">
        <v>221</v>
      </c>
      <c r="BG2" s="291"/>
      <c r="BH2" s="291"/>
      <c r="BI2" s="291"/>
      <c r="BJ2" s="291"/>
      <c r="BK2" s="291"/>
      <c r="BM2" s="291" t="s">
        <v>226</v>
      </c>
      <c r="BN2" s="48"/>
      <c r="BP2" s="42"/>
      <c r="BQ2" s="42"/>
    </row>
    <row r="3" spans="1:69" ht="18" customHeight="1" x14ac:dyDescent="0.25">
      <c r="B3" s="49"/>
      <c r="C3" s="49"/>
      <c r="D3" s="49"/>
      <c r="E3" s="49"/>
      <c r="F3" s="49"/>
      <c r="G3" s="49"/>
      <c r="I3" s="49"/>
      <c r="J3" s="49"/>
      <c r="K3" s="49"/>
      <c r="L3" s="49"/>
      <c r="M3" s="49"/>
      <c r="N3" s="49"/>
      <c r="P3" s="49"/>
      <c r="Q3" s="49"/>
      <c r="R3" s="49"/>
      <c r="S3" s="49"/>
      <c r="T3" s="49"/>
      <c r="U3" s="49"/>
      <c r="W3" s="49"/>
      <c r="X3" s="49"/>
      <c r="Y3" s="49"/>
      <c r="Z3" s="49"/>
      <c r="AA3" s="49"/>
      <c r="AB3" s="49"/>
      <c r="AD3" s="49"/>
      <c r="AE3" s="49"/>
      <c r="AF3" s="49"/>
      <c r="AG3" s="49"/>
      <c r="AH3" s="49"/>
      <c r="AI3" s="49"/>
      <c r="AK3" s="291"/>
      <c r="AL3" s="291"/>
      <c r="AM3" s="291"/>
      <c r="AN3" s="291"/>
      <c r="AO3" s="291"/>
      <c r="AP3" s="291"/>
      <c r="AR3" s="49"/>
      <c r="AS3" s="49"/>
      <c r="AT3" s="49"/>
      <c r="AU3" s="49"/>
      <c r="AV3" s="291"/>
      <c r="AW3" s="49"/>
      <c r="AY3" s="291"/>
      <c r="AZ3" s="291"/>
      <c r="BA3" s="291"/>
      <c r="BB3" s="291"/>
      <c r="BC3" s="291"/>
      <c r="BD3" s="291"/>
      <c r="BF3" s="291"/>
      <c r="BG3" s="291"/>
      <c r="BH3" s="291"/>
      <c r="BI3" s="291"/>
      <c r="BJ3" s="291"/>
      <c r="BK3" s="291"/>
      <c r="BM3" s="291"/>
      <c r="BN3" s="221"/>
      <c r="BP3" s="42"/>
      <c r="BQ3" s="42"/>
    </row>
    <row r="4" spans="1:69" ht="18" hidden="1" customHeight="1" x14ac:dyDescent="0.25">
      <c r="B4" s="15"/>
      <c r="C4" s="15"/>
      <c r="D4" s="15"/>
      <c r="E4" s="15"/>
      <c r="F4" s="15"/>
      <c r="G4" s="15"/>
      <c r="I4" s="15"/>
      <c r="J4" s="15"/>
      <c r="K4" s="15"/>
      <c r="L4" s="15"/>
      <c r="M4" s="15"/>
      <c r="N4" s="15"/>
      <c r="P4" s="15"/>
      <c r="Q4" s="15"/>
      <c r="R4" s="15"/>
      <c r="S4" s="15"/>
      <c r="T4" s="15"/>
      <c r="U4" s="15"/>
      <c r="W4" s="15"/>
      <c r="X4" s="15"/>
      <c r="Y4" s="15"/>
      <c r="Z4" s="15"/>
      <c r="AA4" s="15"/>
      <c r="AB4" s="15"/>
      <c r="AD4" s="15"/>
      <c r="AE4" s="15"/>
      <c r="AF4" s="15"/>
      <c r="AG4" s="15"/>
      <c r="AH4" s="15"/>
      <c r="AI4" s="15"/>
      <c r="AK4" s="15"/>
      <c r="AL4" s="15"/>
      <c r="AM4" s="15"/>
      <c r="AN4" s="15"/>
      <c r="AO4" s="15"/>
      <c r="AP4" s="15"/>
      <c r="AR4" s="15"/>
      <c r="AS4" s="15"/>
      <c r="AT4" s="15"/>
      <c r="AU4" s="15"/>
      <c r="AV4" s="15"/>
      <c r="AW4" s="15"/>
      <c r="AY4" s="15"/>
      <c r="AZ4" s="15"/>
      <c r="BA4" s="15"/>
      <c r="BB4" s="15"/>
      <c r="BC4" s="15"/>
      <c r="BD4" s="15"/>
      <c r="BF4" s="15"/>
      <c r="BG4" s="15"/>
      <c r="BH4" s="15"/>
      <c r="BI4" s="15"/>
      <c r="BJ4" s="15"/>
      <c r="BK4" s="15"/>
      <c r="BM4" s="15"/>
      <c r="BN4" s="15"/>
    </row>
    <row r="5" spans="1:69" ht="30" customHeight="1" x14ac:dyDescent="0.25">
      <c r="A5" s="40" t="s">
        <v>44</v>
      </c>
      <c r="B5" s="15">
        <v>2015</v>
      </c>
      <c r="C5" s="15">
        <v>2016</v>
      </c>
      <c r="D5" s="15">
        <v>2017</v>
      </c>
      <c r="E5" s="15">
        <v>2018</v>
      </c>
      <c r="F5" s="15">
        <v>2019</v>
      </c>
      <c r="G5" s="15">
        <v>2020</v>
      </c>
      <c r="I5" s="15">
        <v>2015</v>
      </c>
      <c r="J5" s="15">
        <v>2016</v>
      </c>
      <c r="K5" s="15">
        <v>2017</v>
      </c>
      <c r="L5" s="15">
        <v>2018</v>
      </c>
      <c r="M5" s="15">
        <v>2019</v>
      </c>
      <c r="N5" s="15">
        <v>2020</v>
      </c>
      <c r="P5" s="15">
        <v>2015</v>
      </c>
      <c r="Q5" s="15">
        <v>2016</v>
      </c>
      <c r="R5" s="15">
        <v>2017</v>
      </c>
      <c r="S5" s="15">
        <v>2018</v>
      </c>
      <c r="T5" s="15">
        <v>2019</v>
      </c>
      <c r="U5" s="15">
        <v>2020</v>
      </c>
      <c r="W5" s="15">
        <v>2015</v>
      </c>
      <c r="X5" s="15">
        <v>2016</v>
      </c>
      <c r="Y5" s="15">
        <v>2017</v>
      </c>
      <c r="Z5" s="15">
        <v>2018</v>
      </c>
      <c r="AA5" s="15">
        <v>2019</v>
      </c>
      <c r="AB5" s="15">
        <v>2020</v>
      </c>
      <c r="AD5" s="15">
        <v>2015</v>
      </c>
      <c r="AE5" s="15">
        <v>2016</v>
      </c>
      <c r="AF5" s="15">
        <v>2017</v>
      </c>
      <c r="AG5" s="15">
        <v>2018</v>
      </c>
      <c r="AH5" s="15">
        <v>2019</v>
      </c>
      <c r="AI5" s="15">
        <v>2020</v>
      </c>
      <c r="AK5" s="15">
        <v>2015</v>
      </c>
      <c r="AL5" s="15">
        <v>2016</v>
      </c>
      <c r="AM5" s="15">
        <v>2017</v>
      </c>
      <c r="AN5" s="15">
        <v>2018</v>
      </c>
      <c r="AO5" s="15">
        <v>2019</v>
      </c>
      <c r="AP5" s="15">
        <v>2020</v>
      </c>
      <c r="AR5" s="15">
        <v>2015</v>
      </c>
      <c r="AS5" s="15">
        <v>2016</v>
      </c>
      <c r="AT5" s="15">
        <v>2017</v>
      </c>
      <c r="AU5" s="15">
        <v>2018</v>
      </c>
      <c r="AV5" s="15">
        <v>2019</v>
      </c>
      <c r="AW5" s="15">
        <v>2020</v>
      </c>
      <c r="AY5" s="15">
        <v>2015</v>
      </c>
      <c r="AZ5" s="15">
        <v>2016</v>
      </c>
      <c r="BA5" s="15">
        <v>2017</v>
      </c>
      <c r="BB5" s="15">
        <v>2018</v>
      </c>
      <c r="BC5" s="15">
        <v>2019</v>
      </c>
      <c r="BD5" s="15">
        <v>2020</v>
      </c>
      <c r="BF5" s="15">
        <v>2015</v>
      </c>
      <c r="BG5" s="15">
        <v>2016</v>
      </c>
      <c r="BH5" s="15">
        <v>2017</v>
      </c>
      <c r="BI5" s="15">
        <v>2018</v>
      </c>
      <c r="BJ5" s="15">
        <v>2019</v>
      </c>
      <c r="BK5" s="15">
        <v>2020</v>
      </c>
      <c r="BM5" s="15">
        <v>2019</v>
      </c>
      <c r="BN5" s="15">
        <v>2020</v>
      </c>
    </row>
    <row r="6" spans="1:69" x14ac:dyDescent="0.25">
      <c r="A6" s="16" t="s">
        <v>0</v>
      </c>
      <c r="B6" s="160" t="s">
        <v>64</v>
      </c>
      <c r="C6" s="160" t="s">
        <v>64</v>
      </c>
      <c r="D6" s="160" t="s">
        <v>64</v>
      </c>
      <c r="E6" s="160" t="s">
        <v>64</v>
      </c>
      <c r="F6" s="160" t="s">
        <v>213</v>
      </c>
      <c r="G6" s="161" t="s">
        <v>420</v>
      </c>
      <c r="I6" s="160" t="s">
        <v>64</v>
      </c>
      <c r="J6" s="160" t="s">
        <v>64</v>
      </c>
      <c r="K6" s="160" t="s">
        <v>311</v>
      </c>
      <c r="L6" s="160" t="s">
        <v>64</v>
      </c>
      <c r="M6" s="160" t="s">
        <v>311</v>
      </c>
      <c r="N6" s="161" t="s">
        <v>311</v>
      </c>
      <c r="P6" s="160" t="s">
        <v>64</v>
      </c>
      <c r="Q6" s="160" t="s">
        <v>311</v>
      </c>
      <c r="R6" s="160" t="s">
        <v>64</v>
      </c>
      <c r="S6" s="160" t="s">
        <v>311</v>
      </c>
      <c r="T6" s="160" t="s">
        <v>64</v>
      </c>
      <c r="U6" s="161" t="s">
        <v>311</v>
      </c>
      <c r="W6" s="160" t="s">
        <v>64</v>
      </c>
      <c r="X6" s="160" t="s">
        <v>64</v>
      </c>
      <c r="Y6" s="160" t="s">
        <v>64</v>
      </c>
      <c r="Z6" s="160" t="s">
        <v>64</v>
      </c>
      <c r="AA6" s="160" t="s">
        <v>64</v>
      </c>
      <c r="AB6" s="161" t="s">
        <v>311</v>
      </c>
      <c r="AD6" s="160" t="s">
        <v>222</v>
      </c>
      <c r="AE6" s="160" t="s">
        <v>64</v>
      </c>
      <c r="AF6" s="160" t="s">
        <v>311</v>
      </c>
      <c r="AG6" s="160" t="s">
        <v>64</v>
      </c>
      <c r="AH6" s="160" t="s">
        <v>311</v>
      </c>
      <c r="AI6" s="161" t="s">
        <v>311</v>
      </c>
      <c r="AK6" s="160" t="s">
        <v>64</v>
      </c>
      <c r="AL6" s="160" t="s">
        <v>64</v>
      </c>
      <c r="AM6" s="160" t="s">
        <v>64</v>
      </c>
      <c r="AN6" s="160" t="s">
        <v>311</v>
      </c>
      <c r="AO6" s="160" t="s">
        <v>64</v>
      </c>
      <c r="AP6" s="161" t="s">
        <v>311</v>
      </c>
      <c r="AR6" s="160" t="s">
        <v>222</v>
      </c>
      <c r="AS6" s="160" t="s">
        <v>64</v>
      </c>
      <c r="AT6" s="160" t="s">
        <v>64</v>
      </c>
      <c r="AU6" s="160" t="s">
        <v>311</v>
      </c>
      <c r="AV6" s="160" t="s">
        <v>64</v>
      </c>
      <c r="AW6" s="161" t="s">
        <v>311</v>
      </c>
      <c r="AY6" s="160" t="s">
        <v>64</v>
      </c>
      <c r="AZ6" s="160" t="s">
        <v>64</v>
      </c>
      <c r="BA6" s="160" t="s">
        <v>311</v>
      </c>
      <c r="BB6" s="160" t="s">
        <v>64</v>
      </c>
      <c r="BC6" s="160" t="s">
        <v>311</v>
      </c>
      <c r="BD6" s="161" t="s">
        <v>311</v>
      </c>
      <c r="BF6" s="160" t="s">
        <v>64</v>
      </c>
      <c r="BG6" s="160" t="s">
        <v>64</v>
      </c>
      <c r="BH6" s="160" t="s">
        <v>64</v>
      </c>
      <c r="BI6" s="160" t="s">
        <v>311</v>
      </c>
      <c r="BJ6" s="160" t="s">
        <v>213</v>
      </c>
      <c r="BK6" s="161" t="s">
        <v>311</v>
      </c>
      <c r="BM6" s="160" t="s">
        <v>64</v>
      </c>
      <c r="BN6" s="161" t="s">
        <v>311</v>
      </c>
    </row>
    <row r="7" spans="1:69" x14ac:dyDescent="0.25">
      <c r="A7" s="16" t="s">
        <v>25</v>
      </c>
      <c r="B7" s="160" t="s">
        <v>213</v>
      </c>
      <c r="C7" s="160" t="s">
        <v>213</v>
      </c>
      <c r="D7" s="160" t="s">
        <v>213</v>
      </c>
      <c r="E7" s="160" t="s">
        <v>64</v>
      </c>
      <c r="F7" s="160" t="s">
        <v>64</v>
      </c>
      <c r="G7" s="161" t="s">
        <v>420</v>
      </c>
      <c r="I7" s="160" t="s">
        <v>213</v>
      </c>
      <c r="J7" s="160" t="s">
        <v>64</v>
      </c>
      <c r="K7" s="160" t="s">
        <v>311</v>
      </c>
      <c r="L7" s="160" t="s">
        <v>64</v>
      </c>
      <c r="M7" s="160" t="s">
        <v>311</v>
      </c>
      <c r="N7" s="161" t="s">
        <v>311</v>
      </c>
      <c r="P7" s="160" t="s">
        <v>64</v>
      </c>
      <c r="Q7" s="160" t="s">
        <v>311</v>
      </c>
      <c r="R7" s="160" t="s">
        <v>64</v>
      </c>
      <c r="S7" s="160" t="s">
        <v>311</v>
      </c>
      <c r="T7" s="160" t="s">
        <v>64</v>
      </c>
      <c r="U7" s="161" t="s">
        <v>311</v>
      </c>
      <c r="W7" s="160" t="s">
        <v>213</v>
      </c>
      <c r="X7" s="160" t="s">
        <v>213</v>
      </c>
      <c r="Y7" s="160" t="s">
        <v>64</v>
      </c>
      <c r="Z7" s="160" t="s">
        <v>64</v>
      </c>
      <c r="AA7" s="160" t="s">
        <v>64</v>
      </c>
      <c r="AB7" s="161" t="s">
        <v>311</v>
      </c>
      <c r="AD7" s="160" t="s">
        <v>213</v>
      </c>
      <c r="AE7" s="160" t="s">
        <v>64</v>
      </c>
      <c r="AF7" s="160" t="s">
        <v>311</v>
      </c>
      <c r="AG7" s="160" t="s">
        <v>64</v>
      </c>
      <c r="AH7" s="160" t="s">
        <v>311</v>
      </c>
      <c r="AI7" s="161" t="s">
        <v>311</v>
      </c>
      <c r="AK7" s="160" t="s">
        <v>213</v>
      </c>
      <c r="AL7" s="160" t="s">
        <v>64</v>
      </c>
      <c r="AM7" s="160" t="s">
        <v>64</v>
      </c>
      <c r="AN7" s="160" t="s">
        <v>311</v>
      </c>
      <c r="AO7" s="160" t="s">
        <v>64</v>
      </c>
      <c r="AP7" s="161" t="s">
        <v>311</v>
      </c>
      <c r="AR7" s="160" t="s">
        <v>222</v>
      </c>
      <c r="AS7" s="160" t="s">
        <v>222</v>
      </c>
      <c r="AT7" s="160" t="s">
        <v>222</v>
      </c>
      <c r="AU7" s="160" t="s">
        <v>311</v>
      </c>
      <c r="AV7" s="160" t="s">
        <v>222</v>
      </c>
      <c r="AW7" s="161" t="s">
        <v>311</v>
      </c>
      <c r="AY7" s="160" t="s">
        <v>64</v>
      </c>
      <c r="AZ7" s="160" t="s">
        <v>64</v>
      </c>
      <c r="BA7" s="160" t="s">
        <v>311</v>
      </c>
      <c r="BB7" s="160" t="s">
        <v>64</v>
      </c>
      <c r="BC7" s="160" t="s">
        <v>311</v>
      </c>
      <c r="BD7" s="161" t="s">
        <v>311</v>
      </c>
      <c r="BF7" s="160" t="s">
        <v>64</v>
      </c>
      <c r="BG7" s="160" t="s">
        <v>64</v>
      </c>
      <c r="BH7" s="160" t="s">
        <v>64</v>
      </c>
      <c r="BI7" s="160" t="s">
        <v>311</v>
      </c>
      <c r="BJ7" s="160" t="s">
        <v>64</v>
      </c>
      <c r="BK7" s="161" t="s">
        <v>311</v>
      </c>
      <c r="BM7" s="160" t="s">
        <v>64</v>
      </c>
      <c r="BN7" s="161" t="s">
        <v>311</v>
      </c>
    </row>
    <row r="8" spans="1:69" x14ac:dyDescent="0.25">
      <c r="A8" s="16" t="s">
        <v>384</v>
      </c>
      <c r="B8" s="160" t="s">
        <v>64</v>
      </c>
      <c r="C8" s="160" t="s">
        <v>64</v>
      </c>
      <c r="D8" s="160" t="s">
        <v>64</v>
      </c>
      <c r="E8" s="160" t="s">
        <v>64</v>
      </c>
      <c r="F8" s="160" t="s">
        <v>64</v>
      </c>
      <c r="G8" s="161" t="s">
        <v>420</v>
      </c>
      <c r="I8" s="160" t="s">
        <v>64</v>
      </c>
      <c r="J8" s="160" t="s">
        <v>64</v>
      </c>
      <c r="K8" s="160" t="s">
        <v>311</v>
      </c>
      <c r="L8" s="160" t="s">
        <v>64</v>
      </c>
      <c r="M8" s="160" t="s">
        <v>311</v>
      </c>
      <c r="N8" s="161" t="s">
        <v>311</v>
      </c>
      <c r="P8" s="160" t="s">
        <v>64</v>
      </c>
      <c r="Q8" s="160" t="s">
        <v>311</v>
      </c>
      <c r="R8" s="160" t="s">
        <v>64</v>
      </c>
      <c r="S8" s="160" t="s">
        <v>311</v>
      </c>
      <c r="T8" s="160" t="s">
        <v>64</v>
      </c>
      <c r="U8" s="161" t="s">
        <v>311</v>
      </c>
      <c r="W8" s="160" t="s">
        <v>64</v>
      </c>
      <c r="X8" s="160" t="s">
        <v>64</v>
      </c>
      <c r="Y8" s="160" t="s">
        <v>64</v>
      </c>
      <c r="Z8" s="160" t="s">
        <v>222</v>
      </c>
      <c r="AA8" s="160" t="s">
        <v>64</v>
      </c>
      <c r="AB8" s="161" t="s">
        <v>311</v>
      </c>
      <c r="AD8" s="160" t="s">
        <v>64</v>
      </c>
      <c r="AE8" s="160" t="s">
        <v>64</v>
      </c>
      <c r="AF8" s="160" t="s">
        <v>311</v>
      </c>
      <c r="AG8" s="160" t="s">
        <v>222</v>
      </c>
      <c r="AH8" s="160" t="s">
        <v>311</v>
      </c>
      <c r="AI8" s="161" t="s">
        <v>311</v>
      </c>
      <c r="AK8" s="160" t="s">
        <v>64</v>
      </c>
      <c r="AL8" s="160" t="s">
        <v>64</v>
      </c>
      <c r="AM8" s="160" t="s">
        <v>64</v>
      </c>
      <c r="AN8" s="160" t="s">
        <v>311</v>
      </c>
      <c r="AO8" s="160" t="s">
        <v>64</v>
      </c>
      <c r="AP8" s="161" t="s">
        <v>311</v>
      </c>
      <c r="AR8" s="160" t="s">
        <v>222</v>
      </c>
      <c r="AS8" s="160" t="s">
        <v>222</v>
      </c>
      <c r="AT8" s="160" t="s">
        <v>222</v>
      </c>
      <c r="AU8" s="160" t="s">
        <v>311</v>
      </c>
      <c r="AV8" s="160" t="s">
        <v>222</v>
      </c>
      <c r="AW8" s="161" t="s">
        <v>311</v>
      </c>
      <c r="AY8" s="160" t="s">
        <v>222</v>
      </c>
      <c r="AZ8" s="160" t="s">
        <v>222</v>
      </c>
      <c r="BA8" s="160" t="s">
        <v>311</v>
      </c>
      <c r="BB8" s="160" t="s">
        <v>222</v>
      </c>
      <c r="BC8" s="160" t="s">
        <v>311</v>
      </c>
      <c r="BD8" s="161" t="s">
        <v>311</v>
      </c>
      <c r="BF8" s="160" t="s">
        <v>222</v>
      </c>
      <c r="BG8" s="160" t="s">
        <v>222</v>
      </c>
      <c r="BH8" s="160" t="s">
        <v>222</v>
      </c>
      <c r="BI8" s="160" t="s">
        <v>311</v>
      </c>
      <c r="BJ8" s="160" t="s">
        <v>222</v>
      </c>
      <c r="BK8" s="161" t="s">
        <v>311</v>
      </c>
      <c r="BM8" s="160" t="s">
        <v>222</v>
      </c>
      <c r="BN8" s="161" t="s">
        <v>311</v>
      </c>
    </row>
    <row r="9" spans="1:69" x14ac:dyDescent="0.25">
      <c r="A9" s="16" t="s">
        <v>1</v>
      </c>
      <c r="B9" s="160" t="s">
        <v>64</v>
      </c>
      <c r="C9" s="160" t="s">
        <v>64</v>
      </c>
      <c r="D9" s="160" t="s">
        <v>64</v>
      </c>
      <c r="E9" s="160" t="s">
        <v>64</v>
      </c>
      <c r="F9" s="160" t="s">
        <v>64</v>
      </c>
      <c r="G9" s="161" t="s">
        <v>420</v>
      </c>
      <c r="I9" s="160" t="s">
        <v>64</v>
      </c>
      <c r="J9" s="160" t="s">
        <v>64</v>
      </c>
      <c r="K9" s="160" t="s">
        <v>311</v>
      </c>
      <c r="L9" s="160" t="s">
        <v>64</v>
      </c>
      <c r="M9" s="160" t="s">
        <v>311</v>
      </c>
      <c r="N9" s="161" t="s">
        <v>311</v>
      </c>
      <c r="P9" s="160" t="s">
        <v>64</v>
      </c>
      <c r="Q9" s="160" t="s">
        <v>311</v>
      </c>
      <c r="R9" s="160" t="s">
        <v>64</v>
      </c>
      <c r="S9" s="160" t="s">
        <v>311</v>
      </c>
      <c r="T9" s="160" t="s">
        <v>64</v>
      </c>
      <c r="U9" s="161" t="s">
        <v>311</v>
      </c>
      <c r="W9" s="160" t="s">
        <v>64</v>
      </c>
      <c r="X9" s="160" t="s">
        <v>64</v>
      </c>
      <c r="Y9" s="160" t="s">
        <v>64</v>
      </c>
      <c r="Z9" s="160" t="s">
        <v>64</v>
      </c>
      <c r="AA9" s="160" t="s">
        <v>64</v>
      </c>
      <c r="AB9" s="161" t="s">
        <v>311</v>
      </c>
      <c r="AD9" s="160" t="s">
        <v>64</v>
      </c>
      <c r="AE9" s="160" t="s">
        <v>64</v>
      </c>
      <c r="AF9" s="160" t="s">
        <v>311</v>
      </c>
      <c r="AG9" s="160" t="s">
        <v>64</v>
      </c>
      <c r="AH9" s="160" t="s">
        <v>311</v>
      </c>
      <c r="AI9" s="161" t="s">
        <v>311</v>
      </c>
      <c r="AK9" s="160" t="s">
        <v>64</v>
      </c>
      <c r="AL9" s="160" t="s">
        <v>64</v>
      </c>
      <c r="AM9" s="160" t="s">
        <v>64</v>
      </c>
      <c r="AN9" s="160" t="s">
        <v>311</v>
      </c>
      <c r="AO9" s="160" t="s">
        <v>64</v>
      </c>
      <c r="AP9" s="161" t="s">
        <v>311</v>
      </c>
      <c r="AR9" s="160" t="s">
        <v>64</v>
      </c>
      <c r="AS9" s="160" t="s">
        <v>64</v>
      </c>
      <c r="AT9" s="160" t="s">
        <v>64</v>
      </c>
      <c r="AU9" s="160" t="s">
        <v>311</v>
      </c>
      <c r="AV9" s="160" t="s">
        <v>64</v>
      </c>
      <c r="AW9" s="161" t="s">
        <v>311</v>
      </c>
      <c r="AY9" s="160" t="s">
        <v>64</v>
      </c>
      <c r="AZ9" s="160" t="s">
        <v>64</v>
      </c>
      <c r="BA9" s="160" t="s">
        <v>311</v>
      </c>
      <c r="BB9" s="160" t="s">
        <v>64</v>
      </c>
      <c r="BC9" s="160" t="s">
        <v>311</v>
      </c>
      <c r="BD9" s="161" t="s">
        <v>311</v>
      </c>
      <c r="BF9" s="160" t="s">
        <v>64</v>
      </c>
      <c r="BG9" s="160" t="s">
        <v>64</v>
      </c>
      <c r="BH9" s="160" t="s">
        <v>64</v>
      </c>
      <c r="BI9" s="160" t="s">
        <v>311</v>
      </c>
      <c r="BJ9" s="160" t="s">
        <v>64</v>
      </c>
      <c r="BK9" s="161" t="s">
        <v>311</v>
      </c>
      <c r="BM9" s="160" t="s">
        <v>213</v>
      </c>
      <c r="BN9" s="161" t="s">
        <v>311</v>
      </c>
    </row>
    <row r="10" spans="1:69" x14ac:dyDescent="0.25">
      <c r="A10" s="16" t="s">
        <v>2</v>
      </c>
      <c r="B10" s="160" t="s">
        <v>64</v>
      </c>
      <c r="C10" s="160" t="s">
        <v>64</v>
      </c>
      <c r="D10" s="160" t="s">
        <v>64</v>
      </c>
      <c r="E10" s="160" t="s">
        <v>64</v>
      </c>
      <c r="F10" s="160" t="s">
        <v>64</v>
      </c>
      <c r="G10" s="161" t="s">
        <v>420</v>
      </c>
      <c r="I10" s="160" t="s">
        <v>64</v>
      </c>
      <c r="J10" s="160" t="s">
        <v>64</v>
      </c>
      <c r="K10" s="160" t="s">
        <v>311</v>
      </c>
      <c r="L10" s="160" t="s">
        <v>64</v>
      </c>
      <c r="M10" s="160" t="s">
        <v>311</v>
      </c>
      <c r="N10" s="161" t="s">
        <v>311</v>
      </c>
      <c r="P10" s="160" t="s">
        <v>64</v>
      </c>
      <c r="Q10" s="160" t="s">
        <v>311</v>
      </c>
      <c r="R10" s="160" t="s">
        <v>64</v>
      </c>
      <c r="S10" s="160" t="s">
        <v>311</v>
      </c>
      <c r="T10" s="160" t="s">
        <v>64</v>
      </c>
      <c r="U10" s="161" t="s">
        <v>311</v>
      </c>
      <c r="W10" s="160" t="s">
        <v>64</v>
      </c>
      <c r="X10" s="160" t="s">
        <v>64</v>
      </c>
      <c r="Y10" s="160" t="s">
        <v>64</v>
      </c>
      <c r="Z10" s="160" t="s">
        <v>64</v>
      </c>
      <c r="AA10" s="160" t="s">
        <v>64</v>
      </c>
      <c r="AB10" s="161" t="s">
        <v>311</v>
      </c>
      <c r="AD10" s="160" t="s">
        <v>64</v>
      </c>
      <c r="AE10" s="160" t="s">
        <v>64</v>
      </c>
      <c r="AF10" s="160" t="s">
        <v>311</v>
      </c>
      <c r="AG10" s="160" t="s">
        <v>64</v>
      </c>
      <c r="AH10" s="160" t="s">
        <v>311</v>
      </c>
      <c r="AI10" s="161" t="s">
        <v>311</v>
      </c>
      <c r="AK10" s="160" t="s">
        <v>64</v>
      </c>
      <c r="AL10" s="160" t="s">
        <v>64</v>
      </c>
      <c r="AM10" s="160" t="s">
        <v>64</v>
      </c>
      <c r="AN10" s="160" t="s">
        <v>311</v>
      </c>
      <c r="AO10" s="160" t="s">
        <v>64</v>
      </c>
      <c r="AP10" s="161" t="s">
        <v>311</v>
      </c>
      <c r="AR10" s="160" t="s">
        <v>64</v>
      </c>
      <c r="AS10" s="160" t="s">
        <v>64</v>
      </c>
      <c r="AT10" s="160" t="s">
        <v>64</v>
      </c>
      <c r="AU10" s="160" t="s">
        <v>311</v>
      </c>
      <c r="AV10" s="160" t="s">
        <v>64</v>
      </c>
      <c r="AW10" s="161" t="s">
        <v>311</v>
      </c>
      <c r="AY10" s="160" t="s">
        <v>64</v>
      </c>
      <c r="AZ10" s="160" t="s">
        <v>64</v>
      </c>
      <c r="BA10" s="160" t="s">
        <v>311</v>
      </c>
      <c r="BB10" s="160" t="s">
        <v>64</v>
      </c>
      <c r="BC10" s="160" t="s">
        <v>311</v>
      </c>
      <c r="BD10" s="161" t="s">
        <v>311</v>
      </c>
      <c r="BF10" s="160" t="s">
        <v>64</v>
      </c>
      <c r="BG10" s="160" t="s">
        <v>64</v>
      </c>
      <c r="BH10" s="160" t="s">
        <v>64</v>
      </c>
      <c r="BI10" s="160" t="s">
        <v>311</v>
      </c>
      <c r="BJ10" s="160" t="s">
        <v>64</v>
      </c>
      <c r="BK10" s="161" t="s">
        <v>311</v>
      </c>
      <c r="BM10" s="160" t="s">
        <v>64</v>
      </c>
      <c r="BN10" s="161" t="s">
        <v>311</v>
      </c>
    </row>
    <row r="11" spans="1:69" x14ac:dyDescent="0.25">
      <c r="A11" s="16" t="s">
        <v>3</v>
      </c>
      <c r="B11" s="160" t="s">
        <v>64</v>
      </c>
      <c r="C11" s="160" t="s">
        <v>64</v>
      </c>
      <c r="D11" s="160" t="s">
        <v>64</v>
      </c>
      <c r="E11" s="160" t="s">
        <v>64</v>
      </c>
      <c r="F11" s="160" t="s">
        <v>64</v>
      </c>
      <c r="G11" s="161" t="s">
        <v>420</v>
      </c>
      <c r="I11" s="160" t="s">
        <v>64</v>
      </c>
      <c r="J11" s="160" t="s">
        <v>64</v>
      </c>
      <c r="K11" s="160" t="s">
        <v>311</v>
      </c>
      <c r="L11" s="160" t="s">
        <v>64</v>
      </c>
      <c r="M11" s="160" t="s">
        <v>311</v>
      </c>
      <c r="N11" s="161" t="s">
        <v>311</v>
      </c>
      <c r="P11" s="160" t="s">
        <v>64</v>
      </c>
      <c r="Q11" s="160" t="s">
        <v>311</v>
      </c>
      <c r="R11" s="160" t="s">
        <v>64</v>
      </c>
      <c r="S11" s="160" t="s">
        <v>311</v>
      </c>
      <c r="T11" s="160" t="s">
        <v>64</v>
      </c>
      <c r="U11" s="161" t="s">
        <v>311</v>
      </c>
      <c r="W11" s="160" t="s">
        <v>64</v>
      </c>
      <c r="X11" s="160" t="s">
        <v>64</v>
      </c>
      <c r="Y11" s="160" t="s">
        <v>64</v>
      </c>
      <c r="Z11" s="160" t="s">
        <v>64</v>
      </c>
      <c r="AA11" s="160" t="s">
        <v>64</v>
      </c>
      <c r="AB11" s="161" t="s">
        <v>311</v>
      </c>
      <c r="AD11" s="160" t="s">
        <v>64</v>
      </c>
      <c r="AE11" s="160" t="s">
        <v>64</v>
      </c>
      <c r="AF11" s="160" t="s">
        <v>311</v>
      </c>
      <c r="AG11" s="160" t="s">
        <v>64</v>
      </c>
      <c r="AH11" s="160" t="s">
        <v>311</v>
      </c>
      <c r="AI11" s="161" t="s">
        <v>311</v>
      </c>
      <c r="AK11" s="160" t="s">
        <v>213</v>
      </c>
      <c r="AL11" s="160" t="s">
        <v>64</v>
      </c>
      <c r="AM11" s="160" t="s">
        <v>64</v>
      </c>
      <c r="AN11" s="160" t="s">
        <v>311</v>
      </c>
      <c r="AO11" s="160" t="s">
        <v>64</v>
      </c>
      <c r="AP11" s="161" t="s">
        <v>311</v>
      </c>
      <c r="AR11" s="160" t="s">
        <v>64</v>
      </c>
      <c r="AS11" s="160" t="s">
        <v>64</v>
      </c>
      <c r="AT11" s="160" t="s">
        <v>64</v>
      </c>
      <c r="AU11" s="160" t="s">
        <v>311</v>
      </c>
      <c r="AV11" s="160" t="s">
        <v>64</v>
      </c>
      <c r="AW11" s="161" t="s">
        <v>311</v>
      </c>
      <c r="AY11" s="160" t="s">
        <v>64</v>
      </c>
      <c r="AZ11" s="160" t="s">
        <v>64</v>
      </c>
      <c r="BA11" s="160" t="s">
        <v>311</v>
      </c>
      <c r="BB11" s="160" t="s">
        <v>64</v>
      </c>
      <c r="BC11" s="160" t="s">
        <v>311</v>
      </c>
      <c r="BD11" s="161" t="s">
        <v>311</v>
      </c>
      <c r="BF11" s="160" t="s">
        <v>64</v>
      </c>
      <c r="BG11" s="160" t="s">
        <v>64</v>
      </c>
      <c r="BH11" s="160" t="s">
        <v>64</v>
      </c>
      <c r="BI11" s="160" t="s">
        <v>311</v>
      </c>
      <c r="BJ11" s="160" t="s">
        <v>64</v>
      </c>
      <c r="BK11" s="161" t="s">
        <v>311</v>
      </c>
      <c r="BM11" s="160" t="s">
        <v>64</v>
      </c>
      <c r="BN11" s="161" t="s">
        <v>311</v>
      </c>
    </row>
    <row r="12" spans="1:69" x14ac:dyDescent="0.25">
      <c r="A12" s="16" t="s">
        <v>32</v>
      </c>
      <c r="B12" s="160" t="s">
        <v>64</v>
      </c>
      <c r="C12" s="160" t="s">
        <v>64</v>
      </c>
      <c r="D12" s="160" t="s">
        <v>64</v>
      </c>
      <c r="E12" s="160" t="s">
        <v>64</v>
      </c>
      <c r="F12" s="160" t="s">
        <v>64</v>
      </c>
      <c r="G12" s="161" t="s">
        <v>420</v>
      </c>
      <c r="I12" s="160" t="s">
        <v>64</v>
      </c>
      <c r="J12" s="160" t="s">
        <v>64</v>
      </c>
      <c r="K12" s="160" t="s">
        <v>311</v>
      </c>
      <c r="L12" s="160" t="s">
        <v>64</v>
      </c>
      <c r="M12" s="160" t="s">
        <v>311</v>
      </c>
      <c r="N12" s="161" t="s">
        <v>311</v>
      </c>
      <c r="P12" s="160" t="s">
        <v>64</v>
      </c>
      <c r="Q12" s="160" t="s">
        <v>311</v>
      </c>
      <c r="R12" s="160" t="s">
        <v>64</v>
      </c>
      <c r="S12" s="160" t="s">
        <v>311</v>
      </c>
      <c r="T12" s="160" t="s">
        <v>64</v>
      </c>
      <c r="U12" s="161" t="s">
        <v>311</v>
      </c>
      <c r="W12" s="160" t="s">
        <v>64</v>
      </c>
      <c r="X12" s="160" t="s">
        <v>64</v>
      </c>
      <c r="Y12" s="160" t="s">
        <v>64</v>
      </c>
      <c r="Z12" s="160" t="s">
        <v>222</v>
      </c>
      <c r="AA12" s="160" t="s">
        <v>64</v>
      </c>
      <c r="AB12" s="161" t="s">
        <v>311</v>
      </c>
      <c r="AD12" s="160" t="s">
        <v>222</v>
      </c>
      <c r="AE12" s="160" t="s">
        <v>222</v>
      </c>
      <c r="AF12" s="160" t="s">
        <v>311</v>
      </c>
      <c r="AG12" s="160" t="s">
        <v>222</v>
      </c>
      <c r="AH12" s="160" t="s">
        <v>311</v>
      </c>
      <c r="AI12" s="161" t="s">
        <v>311</v>
      </c>
      <c r="AK12" s="160" t="s">
        <v>64</v>
      </c>
      <c r="AL12" s="160" t="s">
        <v>64</v>
      </c>
      <c r="AM12" s="160" t="s">
        <v>64</v>
      </c>
      <c r="AN12" s="160" t="s">
        <v>311</v>
      </c>
      <c r="AO12" s="160" t="s">
        <v>64</v>
      </c>
      <c r="AP12" s="161" t="s">
        <v>311</v>
      </c>
      <c r="AR12" s="160" t="s">
        <v>222</v>
      </c>
      <c r="AS12" s="160" t="s">
        <v>222</v>
      </c>
      <c r="AT12" s="160" t="s">
        <v>222</v>
      </c>
      <c r="AU12" s="160" t="s">
        <v>311</v>
      </c>
      <c r="AV12" s="160" t="s">
        <v>222</v>
      </c>
      <c r="AW12" s="161" t="s">
        <v>311</v>
      </c>
      <c r="AY12" s="160" t="s">
        <v>222</v>
      </c>
      <c r="AZ12" s="160" t="s">
        <v>222</v>
      </c>
      <c r="BA12" s="160" t="s">
        <v>311</v>
      </c>
      <c r="BB12" s="160" t="s">
        <v>222</v>
      </c>
      <c r="BC12" s="160" t="s">
        <v>311</v>
      </c>
      <c r="BD12" s="161" t="s">
        <v>311</v>
      </c>
      <c r="BF12" s="160" t="s">
        <v>222</v>
      </c>
      <c r="BG12" s="160" t="s">
        <v>222</v>
      </c>
      <c r="BH12" s="160" t="s">
        <v>222</v>
      </c>
      <c r="BI12" s="160" t="s">
        <v>311</v>
      </c>
      <c r="BJ12" s="160" t="s">
        <v>222</v>
      </c>
      <c r="BK12" s="161" t="s">
        <v>311</v>
      </c>
      <c r="BM12" s="160" t="s">
        <v>64</v>
      </c>
      <c r="BN12" s="161" t="s">
        <v>311</v>
      </c>
    </row>
    <row r="13" spans="1:69" x14ac:dyDescent="0.25">
      <c r="A13" s="16" t="s">
        <v>22</v>
      </c>
      <c r="B13" s="160" t="s">
        <v>64</v>
      </c>
      <c r="C13" s="160" t="s">
        <v>64</v>
      </c>
      <c r="D13" s="160" t="s">
        <v>64</v>
      </c>
      <c r="E13" s="160" t="s">
        <v>64</v>
      </c>
      <c r="F13" s="160" t="s">
        <v>64</v>
      </c>
      <c r="G13" s="161" t="s">
        <v>420</v>
      </c>
      <c r="I13" s="160" t="s">
        <v>64</v>
      </c>
      <c r="J13" s="160" t="s">
        <v>64</v>
      </c>
      <c r="K13" s="160" t="s">
        <v>311</v>
      </c>
      <c r="L13" s="160" t="s">
        <v>64</v>
      </c>
      <c r="M13" s="160" t="s">
        <v>311</v>
      </c>
      <c r="N13" s="161" t="s">
        <v>311</v>
      </c>
      <c r="P13" s="160" t="s">
        <v>64</v>
      </c>
      <c r="Q13" s="160" t="s">
        <v>311</v>
      </c>
      <c r="R13" s="160" t="s">
        <v>64</v>
      </c>
      <c r="S13" s="160" t="s">
        <v>311</v>
      </c>
      <c r="T13" s="160" t="s">
        <v>64</v>
      </c>
      <c r="U13" s="161" t="s">
        <v>311</v>
      </c>
      <c r="W13" s="160" t="s">
        <v>64</v>
      </c>
      <c r="X13" s="160" t="s">
        <v>64</v>
      </c>
      <c r="Y13" s="160" t="s">
        <v>64</v>
      </c>
      <c r="Z13" s="160" t="s">
        <v>64</v>
      </c>
      <c r="AA13" s="160" t="s">
        <v>64</v>
      </c>
      <c r="AB13" s="161" t="s">
        <v>311</v>
      </c>
      <c r="AD13" s="160" t="s">
        <v>64</v>
      </c>
      <c r="AE13" s="160" t="s">
        <v>64</v>
      </c>
      <c r="AF13" s="160" t="s">
        <v>311</v>
      </c>
      <c r="AG13" s="160" t="s">
        <v>64</v>
      </c>
      <c r="AH13" s="160" t="s">
        <v>311</v>
      </c>
      <c r="AI13" s="161" t="s">
        <v>311</v>
      </c>
      <c r="AK13" s="160" t="s">
        <v>64</v>
      </c>
      <c r="AL13" s="160" t="s">
        <v>64</v>
      </c>
      <c r="AM13" s="160" t="s">
        <v>64</v>
      </c>
      <c r="AN13" s="160" t="s">
        <v>311</v>
      </c>
      <c r="AO13" s="160" t="s">
        <v>64</v>
      </c>
      <c r="AP13" s="161" t="s">
        <v>311</v>
      </c>
      <c r="AR13" s="160" t="s">
        <v>222</v>
      </c>
      <c r="AS13" s="160" t="s">
        <v>222</v>
      </c>
      <c r="AT13" s="160" t="s">
        <v>222</v>
      </c>
      <c r="AU13" s="160" t="s">
        <v>311</v>
      </c>
      <c r="AV13" s="160" t="s">
        <v>222</v>
      </c>
      <c r="AW13" s="161" t="s">
        <v>311</v>
      </c>
      <c r="AY13" s="160" t="s">
        <v>64</v>
      </c>
      <c r="AZ13" s="160" t="s">
        <v>222</v>
      </c>
      <c r="BA13" s="160" t="s">
        <v>311</v>
      </c>
      <c r="BB13" s="160" t="s">
        <v>64</v>
      </c>
      <c r="BC13" s="160" t="s">
        <v>311</v>
      </c>
      <c r="BD13" s="161" t="s">
        <v>311</v>
      </c>
      <c r="BF13" s="160" t="s">
        <v>64</v>
      </c>
      <c r="BG13" s="160" t="s">
        <v>64</v>
      </c>
      <c r="BH13" s="160" t="s">
        <v>64</v>
      </c>
      <c r="BI13" s="160" t="s">
        <v>311</v>
      </c>
      <c r="BJ13" s="160" t="s">
        <v>64</v>
      </c>
      <c r="BK13" s="161" t="s">
        <v>311</v>
      </c>
      <c r="BM13" s="160" t="s">
        <v>222</v>
      </c>
      <c r="BN13" s="161" t="s">
        <v>311</v>
      </c>
    </row>
    <row r="14" spans="1:69" x14ac:dyDescent="0.25">
      <c r="A14" s="16" t="s">
        <v>4</v>
      </c>
      <c r="B14" s="160" t="s">
        <v>64</v>
      </c>
      <c r="C14" s="160" t="s">
        <v>213</v>
      </c>
      <c r="D14" s="160" t="s">
        <v>64</v>
      </c>
      <c r="E14" s="160" t="s">
        <v>64</v>
      </c>
      <c r="F14" s="160" t="s">
        <v>64</v>
      </c>
      <c r="G14" s="161" t="s">
        <v>420</v>
      </c>
      <c r="I14" s="160" t="s">
        <v>64</v>
      </c>
      <c r="J14" s="160" t="s">
        <v>64</v>
      </c>
      <c r="K14" s="160" t="s">
        <v>311</v>
      </c>
      <c r="L14" s="160" t="s">
        <v>64</v>
      </c>
      <c r="M14" s="160" t="s">
        <v>311</v>
      </c>
      <c r="N14" s="161" t="s">
        <v>311</v>
      </c>
      <c r="P14" s="160" t="s">
        <v>64</v>
      </c>
      <c r="Q14" s="160" t="s">
        <v>311</v>
      </c>
      <c r="R14" s="160" t="s">
        <v>64</v>
      </c>
      <c r="S14" s="160" t="s">
        <v>311</v>
      </c>
      <c r="T14" s="160" t="s">
        <v>64</v>
      </c>
      <c r="U14" s="161" t="s">
        <v>311</v>
      </c>
      <c r="W14" s="160" t="s">
        <v>64</v>
      </c>
      <c r="X14" s="160" t="s">
        <v>213</v>
      </c>
      <c r="Y14" s="160" t="s">
        <v>64</v>
      </c>
      <c r="Z14" s="160" t="s">
        <v>64</v>
      </c>
      <c r="AA14" s="160" t="s">
        <v>64</v>
      </c>
      <c r="AB14" s="161" t="s">
        <v>311</v>
      </c>
      <c r="AD14" s="160" t="s">
        <v>64</v>
      </c>
      <c r="AE14" s="160" t="s">
        <v>213</v>
      </c>
      <c r="AF14" s="160" t="s">
        <v>311</v>
      </c>
      <c r="AG14" s="160" t="s">
        <v>213</v>
      </c>
      <c r="AH14" s="160" t="s">
        <v>311</v>
      </c>
      <c r="AI14" s="161" t="s">
        <v>311</v>
      </c>
      <c r="AK14" s="160" t="s">
        <v>64</v>
      </c>
      <c r="AL14" s="160" t="s">
        <v>64</v>
      </c>
      <c r="AM14" s="160" t="s">
        <v>64</v>
      </c>
      <c r="AN14" s="160" t="s">
        <v>311</v>
      </c>
      <c r="AO14" s="160" t="s">
        <v>64</v>
      </c>
      <c r="AP14" s="161" t="s">
        <v>311</v>
      </c>
      <c r="AR14" s="160" t="s">
        <v>64</v>
      </c>
      <c r="AS14" s="160" t="s">
        <v>64</v>
      </c>
      <c r="AT14" s="160" t="s">
        <v>64</v>
      </c>
      <c r="AU14" s="160" t="s">
        <v>311</v>
      </c>
      <c r="AV14" s="160" t="s">
        <v>64</v>
      </c>
      <c r="AW14" s="161" t="s">
        <v>311</v>
      </c>
      <c r="AY14" s="160" t="s">
        <v>64</v>
      </c>
      <c r="AZ14" s="160" t="s">
        <v>64</v>
      </c>
      <c r="BA14" s="160" t="s">
        <v>311</v>
      </c>
      <c r="BB14" s="160" t="s">
        <v>64</v>
      </c>
      <c r="BC14" s="160" t="s">
        <v>311</v>
      </c>
      <c r="BD14" s="161" t="s">
        <v>311</v>
      </c>
      <c r="BF14" s="160" t="s">
        <v>64</v>
      </c>
      <c r="BG14" s="160" t="s">
        <v>213</v>
      </c>
      <c r="BH14" s="160" t="s">
        <v>64</v>
      </c>
      <c r="BI14" s="160" t="s">
        <v>311</v>
      </c>
      <c r="BJ14" s="160" t="s">
        <v>64</v>
      </c>
      <c r="BK14" s="161" t="s">
        <v>311</v>
      </c>
      <c r="BM14" s="160" t="s">
        <v>64</v>
      </c>
      <c r="BN14" s="161" t="s">
        <v>311</v>
      </c>
    </row>
    <row r="15" spans="1:69" x14ac:dyDescent="0.25">
      <c r="A15" s="16" t="s">
        <v>27</v>
      </c>
      <c r="B15" s="160" t="s">
        <v>213</v>
      </c>
      <c r="C15" s="160" t="s">
        <v>213</v>
      </c>
      <c r="D15" s="160" t="s">
        <v>213</v>
      </c>
      <c r="E15" s="160" t="s">
        <v>213</v>
      </c>
      <c r="F15" s="160" t="s">
        <v>64</v>
      </c>
      <c r="G15" s="161" t="s">
        <v>420</v>
      </c>
      <c r="I15" s="160" t="s">
        <v>64</v>
      </c>
      <c r="J15" s="160" t="s">
        <v>64</v>
      </c>
      <c r="K15" s="160" t="s">
        <v>311</v>
      </c>
      <c r="L15" s="160" t="s">
        <v>213</v>
      </c>
      <c r="M15" s="160" t="s">
        <v>311</v>
      </c>
      <c r="N15" s="161" t="s">
        <v>311</v>
      </c>
      <c r="P15" s="160" t="s">
        <v>64</v>
      </c>
      <c r="Q15" s="160" t="s">
        <v>311</v>
      </c>
      <c r="R15" s="160" t="s">
        <v>64</v>
      </c>
      <c r="S15" s="160" t="s">
        <v>311</v>
      </c>
      <c r="T15" s="160" t="s">
        <v>64</v>
      </c>
      <c r="U15" s="161" t="s">
        <v>311</v>
      </c>
      <c r="W15" s="160" t="s">
        <v>64</v>
      </c>
      <c r="X15" s="160" t="s">
        <v>64</v>
      </c>
      <c r="Y15" s="160" t="s">
        <v>64</v>
      </c>
      <c r="Z15" s="160" t="s">
        <v>64</v>
      </c>
      <c r="AA15" s="160" t="s">
        <v>213</v>
      </c>
      <c r="AB15" s="161" t="s">
        <v>311</v>
      </c>
      <c r="AD15" s="160" t="s">
        <v>213</v>
      </c>
      <c r="AE15" s="160" t="s">
        <v>64</v>
      </c>
      <c r="AF15" s="160" t="s">
        <v>311</v>
      </c>
      <c r="AG15" s="160" t="s">
        <v>64</v>
      </c>
      <c r="AH15" s="160" t="s">
        <v>311</v>
      </c>
      <c r="AI15" s="161" t="s">
        <v>311</v>
      </c>
      <c r="AK15" s="160" t="s">
        <v>64</v>
      </c>
      <c r="AL15" s="160" t="s">
        <v>213</v>
      </c>
      <c r="AM15" s="160" t="s">
        <v>213</v>
      </c>
      <c r="AN15" s="160" t="s">
        <v>311</v>
      </c>
      <c r="AO15" s="160" t="s">
        <v>213</v>
      </c>
      <c r="AP15" s="161" t="s">
        <v>311</v>
      </c>
      <c r="AR15" s="160" t="s">
        <v>222</v>
      </c>
      <c r="AS15" s="160" t="s">
        <v>222</v>
      </c>
      <c r="AT15" s="160" t="s">
        <v>222</v>
      </c>
      <c r="AU15" s="160" t="s">
        <v>311</v>
      </c>
      <c r="AV15" s="160" t="s">
        <v>222</v>
      </c>
      <c r="AW15" s="161" t="s">
        <v>311</v>
      </c>
      <c r="AY15" s="160" t="s">
        <v>222</v>
      </c>
      <c r="AZ15" s="160" t="s">
        <v>222</v>
      </c>
      <c r="BA15" s="160" t="s">
        <v>311</v>
      </c>
      <c r="BB15" s="160" t="s">
        <v>222</v>
      </c>
      <c r="BC15" s="160" t="s">
        <v>311</v>
      </c>
      <c r="BD15" s="161" t="s">
        <v>311</v>
      </c>
      <c r="BF15" s="160" t="s">
        <v>64</v>
      </c>
      <c r="BG15" s="160" t="s">
        <v>64</v>
      </c>
      <c r="BH15" s="160" t="s">
        <v>64</v>
      </c>
      <c r="BI15" s="160" t="s">
        <v>311</v>
      </c>
      <c r="BJ15" s="160" t="s">
        <v>64</v>
      </c>
      <c r="BK15" s="161" t="s">
        <v>311</v>
      </c>
      <c r="BM15" s="160" t="s">
        <v>64</v>
      </c>
      <c r="BN15" s="161" t="s">
        <v>311</v>
      </c>
    </row>
    <row r="16" spans="1:69" x14ac:dyDescent="0.25">
      <c r="A16" s="16" t="s">
        <v>28</v>
      </c>
      <c r="B16" s="160" t="s">
        <v>64</v>
      </c>
      <c r="C16" s="160" t="s">
        <v>64</v>
      </c>
      <c r="D16" s="160" t="s">
        <v>64</v>
      </c>
      <c r="E16" s="160" t="s">
        <v>64</v>
      </c>
      <c r="F16" s="160" t="s">
        <v>64</v>
      </c>
      <c r="G16" s="161" t="s">
        <v>420</v>
      </c>
      <c r="I16" s="160" t="s">
        <v>64</v>
      </c>
      <c r="J16" s="160" t="s">
        <v>64</v>
      </c>
      <c r="K16" s="160" t="s">
        <v>311</v>
      </c>
      <c r="L16" s="160" t="s">
        <v>64</v>
      </c>
      <c r="M16" s="160" t="s">
        <v>311</v>
      </c>
      <c r="N16" s="161" t="s">
        <v>311</v>
      </c>
      <c r="P16" s="160" t="s">
        <v>64</v>
      </c>
      <c r="Q16" s="160" t="s">
        <v>311</v>
      </c>
      <c r="R16" s="160" t="s">
        <v>64</v>
      </c>
      <c r="S16" s="160" t="s">
        <v>311</v>
      </c>
      <c r="T16" s="160" t="s">
        <v>64</v>
      </c>
      <c r="U16" s="161" t="s">
        <v>311</v>
      </c>
      <c r="W16" s="160" t="s">
        <v>64</v>
      </c>
      <c r="X16" s="160" t="s">
        <v>64</v>
      </c>
      <c r="Y16" s="160" t="s">
        <v>64</v>
      </c>
      <c r="Z16" s="160" t="s">
        <v>64</v>
      </c>
      <c r="AA16" s="160" t="s">
        <v>64</v>
      </c>
      <c r="AB16" s="161" t="s">
        <v>311</v>
      </c>
      <c r="AD16" s="160" t="s">
        <v>64</v>
      </c>
      <c r="AE16" s="160" t="s">
        <v>64</v>
      </c>
      <c r="AF16" s="160" t="s">
        <v>311</v>
      </c>
      <c r="AG16" s="160" t="s">
        <v>64</v>
      </c>
      <c r="AH16" s="160" t="s">
        <v>311</v>
      </c>
      <c r="AI16" s="161" t="s">
        <v>311</v>
      </c>
      <c r="AK16" s="160" t="s">
        <v>64</v>
      </c>
      <c r="AL16" s="160" t="s">
        <v>64</v>
      </c>
      <c r="AM16" s="160" t="s">
        <v>64</v>
      </c>
      <c r="AN16" s="160" t="s">
        <v>311</v>
      </c>
      <c r="AO16" s="160" t="s">
        <v>64</v>
      </c>
      <c r="AP16" s="161" t="s">
        <v>311</v>
      </c>
      <c r="AR16" s="160" t="s">
        <v>222</v>
      </c>
      <c r="AS16" s="160" t="s">
        <v>222</v>
      </c>
      <c r="AT16" s="160" t="s">
        <v>222</v>
      </c>
      <c r="AU16" s="160" t="s">
        <v>311</v>
      </c>
      <c r="AV16" s="160" t="s">
        <v>222</v>
      </c>
      <c r="AW16" s="161" t="s">
        <v>311</v>
      </c>
      <c r="AY16" s="160" t="s">
        <v>222</v>
      </c>
      <c r="AZ16" s="160" t="s">
        <v>222</v>
      </c>
      <c r="BA16" s="160" t="s">
        <v>311</v>
      </c>
      <c r="BB16" s="160" t="s">
        <v>222</v>
      </c>
      <c r="BC16" s="160" t="s">
        <v>311</v>
      </c>
      <c r="BD16" s="161" t="s">
        <v>311</v>
      </c>
      <c r="BF16" s="160" t="s">
        <v>222</v>
      </c>
      <c r="BG16" s="160" t="s">
        <v>222</v>
      </c>
      <c r="BH16" s="160" t="s">
        <v>222</v>
      </c>
      <c r="BI16" s="160" t="s">
        <v>311</v>
      </c>
      <c r="BJ16" s="160" t="s">
        <v>222</v>
      </c>
      <c r="BK16" s="161" t="s">
        <v>311</v>
      </c>
      <c r="BM16" s="160" t="s">
        <v>64</v>
      </c>
      <c r="BN16" s="161" t="s">
        <v>311</v>
      </c>
    </row>
    <row r="17" spans="1:66" x14ac:dyDescent="0.25">
      <c r="A17" s="16" t="s">
        <v>5</v>
      </c>
      <c r="B17" s="160" t="s">
        <v>64</v>
      </c>
      <c r="C17" s="160" t="s">
        <v>64</v>
      </c>
      <c r="D17" s="160" t="s">
        <v>64</v>
      </c>
      <c r="E17" s="160" t="s">
        <v>64</v>
      </c>
      <c r="F17" s="160" t="s">
        <v>64</v>
      </c>
      <c r="G17" s="161" t="s">
        <v>420</v>
      </c>
      <c r="I17" s="160" t="s">
        <v>64</v>
      </c>
      <c r="J17" s="160" t="s">
        <v>64</v>
      </c>
      <c r="K17" s="160" t="s">
        <v>311</v>
      </c>
      <c r="L17" s="160" t="s">
        <v>64</v>
      </c>
      <c r="M17" s="160" t="s">
        <v>311</v>
      </c>
      <c r="N17" s="161" t="s">
        <v>311</v>
      </c>
      <c r="P17" s="160" t="s">
        <v>64</v>
      </c>
      <c r="Q17" s="160" t="s">
        <v>311</v>
      </c>
      <c r="R17" s="160" t="s">
        <v>64</v>
      </c>
      <c r="S17" s="160" t="s">
        <v>311</v>
      </c>
      <c r="T17" s="160" t="s">
        <v>64</v>
      </c>
      <c r="U17" s="161" t="s">
        <v>311</v>
      </c>
      <c r="W17" s="160" t="s">
        <v>64</v>
      </c>
      <c r="X17" s="160" t="s">
        <v>64</v>
      </c>
      <c r="Y17" s="160" t="s">
        <v>64</v>
      </c>
      <c r="Z17" s="160" t="s">
        <v>64</v>
      </c>
      <c r="AA17" s="160" t="s">
        <v>64</v>
      </c>
      <c r="AB17" s="161" t="s">
        <v>311</v>
      </c>
      <c r="AD17" s="160" t="s">
        <v>64</v>
      </c>
      <c r="AE17" s="160" t="s">
        <v>64</v>
      </c>
      <c r="AF17" s="160" t="s">
        <v>311</v>
      </c>
      <c r="AG17" s="160" t="s">
        <v>64</v>
      </c>
      <c r="AH17" s="160" t="s">
        <v>311</v>
      </c>
      <c r="AI17" s="161" t="s">
        <v>311</v>
      </c>
      <c r="AK17" s="160" t="s">
        <v>64</v>
      </c>
      <c r="AL17" s="160" t="s">
        <v>64</v>
      </c>
      <c r="AM17" s="160" t="s">
        <v>64</v>
      </c>
      <c r="AN17" s="160" t="s">
        <v>311</v>
      </c>
      <c r="AO17" s="160" t="s">
        <v>64</v>
      </c>
      <c r="AP17" s="161" t="s">
        <v>311</v>
      </c>
      <c r="AR17" s="160" t="s">
        <v>64</v>
      </c>
      <c r="AS17" s="160" t="s">
        <v>64</v>
      </c>
      <c r="AT17" s="160" t="s">
        <v>64</v>
      </c>
      <c r="AU17" s="160" t="s">
        <v>311</v>
      </c>
      <c r="AV17" s="160" t="s">
        <v>64</v>
      </c>
      <c r="AW17" s="161" t="s">
        <v>311</v>
      </c>
      <c r="AY17" s="160" t="s">
        <v>64</v>
      </c>
      <c r="AZ17" s="160" t="s">
        <v>64</v>
      </c>
      <c r="BA17" s="160" t="s">
        <v>311</v>
      </c>
      <c r="BB17" s="160" t="s">
        <v>64</v>
      </c>
      <c r="BC17" s="160" t="s">
        <v>311</v>
      </c>
      <c r="BD17" s="161" t="s">
        <v>311</v>
      </c>
      <c r="BF17" s="160" t="s">
        <v>64</v>
      </c>
      <c r="BG17" s="160" t="s">
        <v>64</v>
      </c>
      <c r="BH17" s="160" t="s">
        <v>64</v>
      </c>
      <c r="BI17" s="160" t="s">
        <v>311</v>
      </c>
      <c r="BJ17" s="160" t="s">
        <v>64</v>
      </c>
      <c r="BK17" s="161" t="s">
        <v>311</v>
      </c>
      <c r="BM17" s="160" t="s">
        <v>64</v>
      </c>
      <c r="BN17" s="161" t="s">
        <v>311</v>
      </c>
    </row>
    <row r="18" spans="1:66" x14ac:dyDescent="0.25">
      <c r="A18" s="16" t="s">
        <v>21</v>
      </c>
      <c r="B18" s="160" t="s">
        <v>64</v>
      </c>
      <c r="C18" s="160" t="s">
        <v>64</v>
      </c>
      <c r="D18" s="160" t="s">
        <v>64</v>
      </c>
      <c r="E18" s="160" t="s">
        <v>64</v>
      </c>
      <c r="F18" s="160" t="s">
        <v>64</v>
      </c>
      <c r="G18" s="161" t="s">
        <v>420</v>
      </c>
      <c r="I18" s="160" t="s">
        <v>64</v>
      </c>
      <c r="J18" s="160" t="s">
        <v>64</v>
      </c>
      <c r="K18" s="160" t="s">
        <v>311</v>
      </c>
      <c r="L18" s="160" t="s">
        <v>64</v>
      </c>
      <c r="M18" s="160" t="s">
        <v>311</v>
      </c>
      <c r="N18" s="161" t="s">
        <v>311</v>
      </c>
      <c r="P18" s="160" t="s">
        <v>64</v>
      </c>
      <c r="Q18" s="160" t="s">
        <v>311</v>
      </c>
      <c r="R18" s="160" t="s">
        <v>64</v>
      </c>
      <c r="S18" s="160" t="s">
        <v>311</v>
      </c>
      <c r="T18" s="160" t="s">
        <v>64</v>
      </c>
      <c r="U18" s="161" t="s">
        <v>311</v>
      </c>
      <c r="W18" s="160" t="s">
        <v>64</v>
      </c>
      <c r="X18" s="160" t="s">
        <v>64</v>
      </c>
      <c r="Y18" s="160" t="s">
        <v>64</v>
      </c>
      <c r="Z18" s="160" t="s">
        <v>64</v>
      </c>
      <c r="AA18" s="160" t="s">
        <v>64</v>
      </c>
      <c r="AB18" s="161" t="s">
        <v>311</v>
      </c>
      <c r="AD18" s="160" t="s">
        <v>64</v>
      </c>
      <c r="AE18" s="160" t="s">
        <v>64</v>
      </c>
      <c r="AF18" s="160" t="s">
        <v>311</v>
      </c>
      <c r="AG18" s="160" t="s">
        <v>64</v>
      </c>
      <c r="AH18" s="160" t="s">
        <v>311</v>
      </c>
      <c r="AI18" s="161" t="s">
        <v>311</v>
      </c>
      <c r="AK18" s="160" t="s">
        <v>64</v>
      </c>
      <c r="AL18" s="160" t="s">
        <v>64</v>
      </c>
      <c r="AM18" s="160" t="s">
        <v>64</v>
      </c>
      <c r="AN18" s="160" t="s">
        <v>311</v>
      </c>
      <c r="AO18" s="160" t="s">
        <v>64</v>
      </c>
      <c r="AP18" s="161" t="s">
        <v>311</v>
      </c>
      <c r="AR18" s="160" t="s">
        <v>222</v>
      </c>
      <c r="AS18" s="160" t="s">
        <v>64</v>
      </c>
      <c r="AT18" s="160" t="s">
        <v>222</v>
      </c>
      <c r="AU18" s="160" t="s">
        <v>311</v>
      </c>
      <c r="AV18" s="160" t="s">
        <v>64</v>
      </c>
      <c r="AW18" s="161" t="s">
        <v>311</v>
      </c>
      <c r="AY18" s="160" t="s">
        <v>222</v>
      </c>
      <c r="AZ18" s="160" t="s">
        <v>64</v>
      </c>
      <c r="BA18" s="160" t="s">
        <v>311</v>
      </c>
      <c r="BB18" s="160" t="s">
        <v>64</v>
      </c>
      <c r="BC18" s="160" t="s">
        <v>311</v>
      </c>
      <c r="BD18" s="161" t="s">
        <v>311</v>
      </c>
      <c r="BF18" s="160" t="s">
        <v>64</v>
      </c>
      <c r="BG18" s="160" t="s">
        <v>64</v>
      </c>
      <c r="BH18" s="160" t="s">
        <v>64</v>
      </c>
      <c r="BI18" s="160" t="s">
        <v>311</v>
      </c>
      <c r="BJ18" s="160" t="s">
        <v>64</v>
      </c>
      <c r="BK18" s="161" t="s">
        <v>311</v>
      </c>
      <c r="BM18" s="160" t="s">
        <v>222</v>
      </c>
      <c r="BN18" s="161" t="s">
        <v>311</v>
      </c>
    </row>
    <row r="19" spans="1:66" x14ac:dyDescent="0.25">
      <c r="A19" s="16" t="s">
        <v>7</v>
      </c>
      <c r="B19" s="160" t="s">
        <v>64</v>
      </c>
      <c r="C19" s="160" t="s">
        <v>64</v>
      </c>
      <c r="D19" s="160" t="s">
        <v>64</v>
      </c>
      <c r="E19" s="160" t="s">
        <v>64</v>
      </c>
      <c r="F19" s="160" t="s">
        <v>64</v>
      </c>
      <c r="G19" s="161" t="s">
        <v>420</v>
      </c>
      <c r="I19" s="160" t="s">
        <v>64</v>
      </c>
      <c r="J19" s="160" t="s">
        <v>213</v>
      </c>
      <c r="K19" s="160" t="s">
        <v>311</v>
      </c>
      <c r="L19" s="160" t="s">
        <v>64</v>
      </c>
      <c r="M19" s="160" t="s">
        <v>311</v>
      </c>
      <c r="N19" s="161" t="s">
        <v>311</v>
      </c>
      <c r="P19" s="160" t="s">
        <v>64</v>
      </c>
      <c r="Q19" s="160" t="s">
        <v>311</v>
      </c>
      <c r="R19" s="160" t="s">
        <v>64</v>
      </c>
      <c r="S19" s="160" t="s">
        <v>311</v>
      </c>
      <c r="T19" s="160" t="s">
        <v>64</v>
      </c>
      <c r="U19" s="161" t="s">
        <v>311</v>
      </c>
      <c r="W19" s="160" t="s">
        <v>64</v>
      </c>
      <c r="X19" s="160" t="s">
        <v>213</v>
      </c>
      <c r="Y19" s="160" t="s">
        <v>64</v>
      </c>
      <c r="Z19" s="160" t="s">
        <v>64</v>
      </c>
      <c r="AA19" s="160" t="s">
        <v>64</v>
      </c>
      <c r="AB19" s="161" t="s">
        <v>311</v>
      </c>
      <c r="AD19" s="160" t="s">
        <v>64</v>
      </c>
      <c r="AE19" s="160" t="s">
        <v>64</v>
      </c>
      <c r="AF19" s="160" t="s">
        <v>311</v>
      </c>
      <c r="AG19" s="160" t="s">
        <v>64</v>
      </c>
      <c r="AH19" s="160" t="s">
        <v>311</v>
      </c>
      <c r="AI19" s="161" t="s">
        <v>311</v>
      </c>
      <c r="AK19" s="160" t="s">
        <v>64</v>
      </c>
      <c r="AL19" s="160" t="s">
        <v>64</v>
      </c>
      <c r="AM19" s="160" t="s">
        <v>64</v>
      </c>
      <c r="AN19" s="160" t="s">
        <v>311</v>
      </c>
      <c r="AO19" s="160" t="s">
        <v>64</v>
      </c>
      <c r="AP19" s="161" t="s">
        <v>311</v>
      </c>
      <c r="AR19" s="160" t="s">
        <v>64</v>
      </c>
      <c r="AS19" s="160" t="s">
        <v>64</v>
      </c>
      <c r="AT19" s="160" t="s">
        <v>64</v>
      </c>
      <c r="AU19" s="160" t="s">
        <v>311</v>
      </c>
      <c r="AV19" s="160" t="s">
        <v>64</v>
      </c>
      <c r="AW19" s="161" t="s">
        <v>311</v>
      </c>
      <c r="AY19" s="160" t="s">
        <v>64</v>
      </c>
      <c r="AZ19" s="160" t="s">
        <v>64</v>
      </c>
      <c r="BA19" s="160" t="s">
        <v>311</v>
      </c>
      <c r="BB19" s="160" t="s">
        <v>64</v>
      </c>
      <c r="BC19" s="160" t="s">
        <v>311</v>
      </c>
      <c r="BD19" s="161" t="s">
        <v>311</v>
      </c>
      <c r="BF19" s="160" t="s">
        <v>64</v>
      </c>
      <c r="BG19" s="160" t="s">
        <v>64</v>
      </c>
      <c r="BH19" s="160" t="s">
        <v>64</v>
      </c>
      <c r="BI19" s="160" t="s">
        <v>311</v>
      </c>
      <c r="BJ19" s="160" t="s">
        <v>64</v>
      </c>
      <c r="BK19" s="161" t="s">
        <v>311</v>
      </c>
      <c r="BM19" s="160" t="s">
        <v>64</v>
      </c>
      <c r="BN19" s="161" t="s">
        <v>311</v>
      </c>
    </row>
    <row r="20" spans="1:66" x14ac:dyDescent="0.25">
      <c r="A20" s="16" t="s">
        <v>6</v>
      </c>
      <c r="B20" s="160" t="s">
        <v>64</v>
      </c>
      <c r="C20" s="160" t="s">
        <v>64</v>
      </c>
      <c r="D20" s="160" t="s">
        <v>64</v>
      </c>
      <c r="E20" s="160" t="s">
        <v>64</v>
      </c>
      <c r="F20" s="160" t="s">
        <v>64</v>
      </c>
      <c r="G20" s="161" t="s">
        <v>420</v>
      </c>
      <c r="I20" s="160" t="s">
        <v>64</v>
      </c>
      <c r="J20" s="160" t="s">
        <v>64</v>
      </c>
      <c r="K20" s="160" t="s">
        <v>311</v>
      </c>
      <c r="L20" s="160" t="s">
        <v>64</v>
      </c>
      <c r="M20" s="160" t="s">
        <v>311</v>
      </c>
      <c r="N20" s="161" t="s">
        <v>311</v>
      </c>
      <c r="P20" s="160" t="s">
        <v>64</v>
      </c>
      <c r="Q20" s="160" t="s">
        <v>311</v>
      </c>
      <c r="R20" s="160" t="s">
        <v>64</v>
      </c>
      <c r="S20" s="160" t="s">
        <v>311</v>
      </c>
      <c r="T20" s="160" t="s">
        <v>64</v>
      </c>
      <c r="U20" s="161" t="s">
        <v>311</v>
      </c>
      <c r="W20" s="160" t="s">
        <v>64</v>
      </c>
      <c r="X20" s="160" t="s">
        <v>64</v>
      </c>
      <c r="Y20" s="160" t="s">
        <v>64</v>
      </c>
      <c r="Z20" s="160" t="s">
        <v>64</v>
      </c>
      <c r="AA20" s="160" t="s">
        <v>64</v>
      </c>
      <c r="AB20" s="161" t="s">
        <v>311</v>
      </c>
      <c r="AD20" s="160" t="s">
        <v>64</v>
      </c>
      <c r="AE20" s="160" t="s">
        <v>64</v>
      </c>
      <c r="AF20" s="160" t="s">
        <v>311</v>
      </c>
      <c r="AG20" s="160" t="s">
        <v>64</v>
      </c>
      <c r="AH20" s="160" t="s">
        <v>311</v>
      </c>
      <c r="AI20" s="161" t="s">
        <v>311</v>
      </c>
      <c r="AK20" s="160" t="s">
        <v>64</v>
      </c>
      <c r="AL20" s="160" t="s">
        <v>64</v>
      </c>
      <c r="AM20" s="160" t="s">
        <v>64</v>
      </c>
      <c r="AN20" s="160" t="s">
        <v>311</v>
      </c>
      <c r="AO20" s="160" t="s">
        <v>64</v>
      </c>
      <c r="AP20" s="161" t="s">
        <v>311</v>
      </c>
      <c r="AR20" s="160" t="s">
        <v>222</v>
      </c>
      <c r="AS20" s="160" t="s">
        <v>222</v>
      </c>
      <c r="AT20" s="160" t="s">
        <v>64</v>
      </c>
      <c r="AU20" s="160" t="s">
        <v>311</v>
      </c>
      <c r="AV20" s="160" t="s">
        <v>64</v>
      </c>
      <c r="AW20" s="161" t="s">
        <v>311</v>
      </c>
      <c r="AY20" s="160" t="s">
        <v>222</v>
      </c>
      <c r="AZ20" s="160" t="s">
        <v>222</v>
      </c>
      <c r="BA20" s="160" t="s">
        <v>311</v>
      </c>
      <c r="BB20" s="160" t="s">
        <v>222</v>
      </c>
      <c r="BC20" s="160" t="s">
        <v>311</v>
      </c>
      <c r="BD20" s="161" t="s">
        <v>311</v>
      </c>
      <c r="BF20" s="160" t="s">
        <v>222</v>
      </c>
      <c r="BG20" s="160" t="s">
        <v>222</v>
      </c>
      <c r="BH20" s="160" t="s">
        <v>64</v>
      </c>
      <c r="BI20" s="160" t="s">
        <v>311</v>
      </c>
      <c r="BJ20" s="160" t="s">
        <v>64</v>
      </c>
      <c r="BK20" s="161" t="s">
        <v>311</v>
      </c>
      <c r="BM20" s="160" t="s">
        <v>64</v>
      </c>
      <c r="BN20" s="161" t="s">
        <v>311</v>
      </c>
    </row>
    <row r="21" spans="1:66" x14ac:dyDescent="0.25">
      <c r="A21" s="16" t="s">
        <v>29</v>
      </c>
      <c r="B21" s="160" t="s">
        <v>64</v>
      </c>
      <c r="C21" s="160" t="s">
        <v>64</v>
      </c>
      <c r="D21" s="160" t="s">
        <v>64</v>
      </c>
      <c r="E21" s="160" t="s">
        <v>64</v>
      </c>
      <c r="F21" s="160" t="s">
        <v>64</v>
      </c>
      <c r="G21" s="161" t="s">
        <v>420</v>
      </c>
      <c r="I21" s="160" t="s">
        <v>64</v>
      </c>
      <c r="J21" s="160" t="s">
        <v>64</v>
      </c>
      <c r="K21" s="160" t="s">
        <v>311</v>
      </c>
      <c r="L21" s="160" t="s">
        <v>64</v>
      </c>
      <c r="M21" s="160" t="s">
        <v>311</v>
      </c>
      <c r="N21" s="161" t="s">
        <v>311</v>
      </c>
      <c r="P21" s="160" t="s">
        <v>64</v>
      </c>
      <c r="Q21" s="160" t="s">
        <v>311</v>
      </c>
      <c r="R21" s="160" t="s">
        <v>64</v>
      </c>
      <c r="S21" s="160" t="s">
        <v>311</v>
      </c>
      <c r="T21" s="160" t="s">
        <v>64</v>
      </c>
      <c r="U21" s="161" t="s">
        <v>311</v>
      </c>
      <c r="W21" s="160" t="s">
        <v>64</v>
      </c>
      <c r="X21" s="160" t="s">
        <v>64</v>
      </c>
      <c r="Y21" s="160" t="s">
        <v>64</v>
      </c>
      <c r="Z21" s="160" t="s">
        <v>222</v>
      </c>
      <c r="AA21" s="160" t="s">
        <v>64</v>
      </c>
      <c r="AB21" s="161" t="s">
        <v>311</v>
      </c>
      <c r="AD21" s="160" t="s">
        <v>222</v>
      </c>
      <c r="AE21" s="160" t="s">
        <v>222</v>
      </c>
      <c r="AF21" s="160" t="s">
        <v>311</v>
      </c>
      <c r="AG21" s="160" t="s">
        <v>222</v>
      </c>
      <c r="AH21" s="160" t="s">
        <v>311</v>
      </c>
      <c r="AI21" s="161" t="s">
        <v>311</v>
      </c>
      <c r="AK21" s="160" t="s">
        <v>64</v>
      </c>
      <c r="AL21" s="160" t="s">
        <v>64</v>
      </c>
      <c r="AM21" s="160" t="s">
        <v>64</v>
      </c>
      <c r="AN21" s="160" t="s">
        <v>311</v>
      </c>
      <c r="AO21" s="160" t="s">
        <v>64</v>
      </c>
      <c r="AP21" s="161" t="s">
        <v>311</v>
      </c>
      <c r="AR21" s="160" t="s">
        <v>222</v>
      </c>
      <c r="AS21" s="160" t="s">
        <v>222</v>
      </c>
      <c r="AT21" s="160" t="s">
        <v>222</v>
      </c>
      <c r="AU21" s="160" t="s">
        <v>311</v>
      </c>
      <c r="AV21" s="160" t="s">
        <v>222</v>
      </c>
      <c r="AW21" s="161" t="s">
        <v>311</v>
      </c>
      <c r="AY21" s="160" t="s">
        <v>222</v>
      </c>
      <c r="AZ21" s="160" t="s">
        <v>222</v>
      </c>
      <c r="BA21" s="160" t="s">
        <v>311</v>
      </c>
      <c r="BB21" s="160" t="s">
        <v>222</v>
      </c>
      <c r="BC21" s="160" t="s">
        <v>311</v>
      </c>
      <c r="BD21" s="161" t="s">
        <v>311</v>
      </c>
      <c r="BF21" s="160" t="s">
        <v>222</v>
      </c>
      <c r="BG21" s="160" t="s">
        <v>222</v>
      </c>
      <c r="BH21" s="160" t="s">
        <v>222</v>
      </c>
      <c r="BI21" s="160" t="s">
        <v>311</v>
      </c>
      <c r="BJ21" s="160" t="s">
        <v>222</v>
      </c>
      <c r="BK21" s="161" t="s">
        <v>311</v>
      </c>
      <c r="BM21" s="160" t="s">
        <v>222</v>
      </c>
      <c r="BN21" s="161" t="s">
        <v>311</v>
      </c>
    </row>
    <row r="22" spans="1:66" x14ac:dyDescent="0.25">
      <c r="A22" s="16" t="s">
        <v>8</v>
      </c>
      <c r="B22" s="160" t="s">
        <v>64</v>
      </c>
      <c r="C22" s="160" t="s">
        <v>64</v>
      </c>
      <c r="D22" s="160" t="s">
        <v>64</v>
      </c>
      <c r="E22" s="160" t="s">
        <v>64</v>
      </c>
      <c r="F22" s="160" t="s">
        <v>64</v>
      </c>
      <c r="G22" s="161" t="s">
        <v>420</v>
      </c>
      <c r="I22" s="160" t="s">
        <v>64</v>
      </c>
      <c r="J22" s="160" t="s">
        <v>64</v>
      </c>
      <c r="K22" s="160" t="s">
        <v>311</v>
      </c>
      <c r="L22" s="160" t="s">
        <v>64</v>
      </c>
      <c r="M22" s="160" t="s">
        <v>311</v>
      </c>
      <c r="N22" s="161" t="s">
        <v>311</v>
      </c>
      <c r="P22" s="160" t="s">
        <v>64</v>
      </c>
      <c r="Q22" s="160" t="s">
        <v>311</v>
      </c>
      <c r="R22" s="160" t="s">
        <v>64</v>
      </c>
      <c r="S22" s="160" t="s">
        <v>311</v>
      </c>
      <c r="T22" s="160" t="s">
        <v>64</v>
      </c>
      <c r="U22" s="161" t="s">
        <v>311</v>
      </c>
      <c r="W22" s="160" t="s">
        <v>64</v>
      </c>
      <c r="X22" s="160" t="s">
        <v>64</v>
      </c>
      <c r="Y22" s="160" t="s">
        <v>64</v>
      </c>
      <c r="Z22" s="160" t="s">
        <v>64</v>
      </c>
      <c r="AA22" s="160" t="s">
        <v>64</v>
      </c>
      <c r="AB22" s="161" t="s">
        <v>311</v>
      </c>
      <c r="AD22" s="160" t="s">
        <v>64</v>
      </c>
      <c r="AE22" s="160" t="s">
        <v>64</v>
      </c>
      <c r="AF22" s="160" t="s">
        <v>311</v>
      </c>
      <c r="AG22" s="160" t="s">
        <v>64</v>
      </c>
      <c r="AH22" s="160" t="s">
        <v>311</v>
      </c>
      <c r="AI22" s="161" t="s">
        <v>311</v>
      </c>
      <c r="AK22" s="160" t="s">
        <v>64</v>
      </c>
      <c r="AL22" s="160" t="s">
        <v>64</v>
      </c>
      <c r="AM22" s="160" t="s">
        <v>64</v>
      </c>
      <c r="AN22" s="160" t="s">
        <v>311</v>
      </c>
      <c r="AO22" s="160" t="s">
        <v>64</v>
      </c>
      <c r="AP22" s="161" t="s">
        <v>311</v>
      </c>
      <c r="AR22" s="160" t="s">
        <v>222</v>
      </c>
      <c r="AS22" s="160" t="s">
        <v>222</v>
      </c>
      <c r="AT22" s="160" t="s">
        <v>222</v>
      </c>
      <c r="AU22" s="160" t="s">
        <v>311</v>
      </c>
      <c r="AV22" s="160" t="s">
        <v>222</v>
      </c>
      <c r="AW22" s="161" t="s">
        <v>311</v>
      </c>
      <c r="AY22" s="160" t="s">
        <v>64</v>
      </c>
      <c r="AZ22" s="160" t="s">
        <v>64</v>
      </c>
      <c r="BA22" s="160" t="s">
        <v>311</v>
      </c>
      <c r="BB22" s="160" t="s">
        <v>64</v>
      </c>
      <c r="BC22" s="160" t="s">
        <v>311</v>
      </c>
      <c r="BD22" s="161" t="s">
        <v>311</v>
      </c>
      <c r="BF22" s="160" t="s">
        <v>64</v>
      </c>
      <c r="BG22" s="160" t="s">
        <v>64</v>
      </c>
      <c r="BH22" s="160" t="s">
        <v>64</v>
      </c>
      <c r="BI22" s="160" t="s">
        <v>311</v>
      </c>
      <c r="BJ22" s="160" t="s">
        <v>64</v>
      </c>
      <c r="BK22" s="161" t="s">
        <v>311</v>
      </c>
      <c r="BM22" s="160" t="s">
        <v>64</v>
      </c>
      <c r="BN22" s="161" t="s">
        <v>311</v>
      </c>
    </row>
    <row r="23" spans="1:66" x14ac:dyDescent="0.25">
      <c r="A23" s="16" t="s">
        <v>9</v>
      </c>
      <c r="B23" s="160" t="s">
        <v>64</v>
      </c>
      <c r="C23" s="160" t="s">
        <v>64</v>
      </c>
      <c r="D23" s="160" t="s">
        <v>64</v>
      </c>
      <c r="E23" s="160" t="s">
        <v>64</v>
      </c>
      <c r="F23" s="160" t="s">
        <v>64</v>
      </c>
      <c r="G23" s="161" t="s">
        <v>420</v>
      </c>
      <c r="I23" s="160" t="s">
        <v>64</v>
      </c>
      <c r="J23" s="160" t="s">
        <v>64</v>
      </c>
      <c r="K23" s="160" t="s">
        <v>311</v>
      </c>
      <c r="L23" s="160" t="s">
        <v>64</v>
      </c>
      <c r="M23" s="160" t="s">
        <v>311</v>
      </c>
      <c r="N23" s="161" t="s">
        <v>311</v>
      </c>
      <c r="P23" s="160" t="s">
        <v>64</v>
      </c>
      <c r="Q23" s="160" t="s">
        <v>311</v>
      </c>
      <c r="R23" s="160" t="s">
        <v>64</v>
      </c>
      <c r="S23" s="160" t="s">
        <v>311</v>
      </c>
      <c r="T23" s="160" t="s">
        <v>64</v>
      </c>
      <c r="U23" s="161" t="s">
        <v>311</v>
      </c>
      <c r="W23" s="160" t="s">
        <v>64</v>
      </c>
      <c r="X23" s="160" t="s">
        <v>64</v>
      </c>
      <c r="Y23" s="160" t="s">
        <v>64</v>
      </c>
      <c r="Z23" s="160" t="s">
        <v>222</v>
      </c>
      <c r="AA23" s="160" t="s">
        <v>64</v>
      </c>
      <c r="AB23" s="161" t="s">
        <v>311</v>
      </c>
      <c r="AD23" s="160" t="s">
        <v>64</v>
      </c>
      <c r="AE23" s="160" t="s">
        <v>64</v>
      </c>
      <c r="AF23" s="160" t="s">
        <v>311</v>
      </c>
      <c r="AG23" s="160" t="s">
        <v>64</v>
      </c>
      <c r="AH23" s="160" t="s">
        <v>311</v>
      </c>
      <c r="AI23" s="161" t="s">
        <v>311</v>
      </c>
      <c r="AK23" s="160" t="s">
        <v>64</v>
      </c>
      <c r="AL23" s="160" t="s">
        <v>64</v>
      </c>
      <c r="AM23" s="160" t="s">
        <v>64</v>
      </c>
      <c r="AN23" s="160" t="s">
        <v>311</v>
      </c>
      <c r="AO23" s="160" t="s">
        <v>64</v>
      </c>
      <c r="AP23" s="161" t="s">
        <v>311</v>
      </c>
      <c r="AR23" s="160" t="s">
        <v>222</v>
      </c>
      <c r="AS23" s="160" t="s">
        <v>222</v>
      </c>
      <c r="AT23" s="160" t="s">
        <v>222</v>
      </c>
      <c r="AU23" s="160" t="s">
        <v>311</v>
      </c>
      <c r="AV23" s="160" t="s">
        <v>222</v>
      </c>
      <c r="AW23" s="161" t="s">
        <v>311</v>
      </c>
      <c r="AY23" s="160" t="s">
        <v>64</v>
      </c>
      <c r="AZ23" s="160" t="s">
        <v>64</v>
      </c>
      <c r="BA23" s="160" t="s">
        <v>311</v>
      </c>
      <c r="BB23" s="160" t="s">
        <v>64</v>
      </c>
      <c r="BC23" s="160" t="s">
        <v>311</v>
      </c>
      <c r="BD23" s="161" t="s">
        <v>311</v>
      </c>
      <c r="BF23" s="160" t="s">
        <v>64</v>
      </c>
      <c r="BG23" s="160" t="s">
        <v>64</v>
      </c>
      <c r="BH23" s="160" t="s">
        <v>64</v>
      </c>
      <c r="BI23" s="160" t="s">
        <v>311</v>
      </c>
      <c r="BJ23" s="160" t="s">
        <v>64</v>
      </c>
      <c r="BK23" s="161" t="s">
        <v>311</v>
      </c>
      <c r="BM23" s="160" t="s">
        <v>64</v>
      </c>
      <c r="BN23" s="161" t="s">
        <v>311</v>
      </c>
    </row>
    <row r="24" spans="1:66" x14ac:dyDescent="0.25">
      <c r="A24" s="16" t="s">
        <v>23</v>
      </c>
      <c r="B24" s="160" t="s">
        <v>64</v>
      </c>
      <c r="C24" s="160" t="s">
        <v>64</v>
      </c>
      <c r="D24" s="160" t="s">
        <v>64</v>
      </c>
      <c r="E24" s="160" t="s">
        <v>64</v>
      </c>
      <c r="F24" s="160" t="s">
        <v>64</v>
      </c>
      <c r="G24" s="161" t="s">
        <v>420</v>
      </c>
      <c r="I24" s="160" t="s">
        <v>64</v>
      </c>
      <c r="J24" s="160" t="s">
        <v>64</v>
      </c>
      <c r="K24" s="160" t="s">
        <v>311</v>
      </c>
      <c r="L24" s="160" t="s">
        <v>64</v>
      </c>
      <c r="M24" s="160" t="s">
        <v>311</v>
      </c>
      <c r="N24" s="161" t="s">
        <v>311</v>
      </c>
      <c r="P24" s="160" t="s">
        <v>64</v>
      </c>
      <c r="Q24" s="160" t="s">
        <v>311</v>
      </c>
      <c r="R24" s="160" t="s">
        <v>64</v>
      </c>
      <c r="S24" s="160" t="s">
        <v>311</v>
      </c>
      <c r="T24" s="160" t="s">
        <v>64</v>
      </c>
      <c r="U24" s="161" t="s">
        <v>311</v>
      </c>
      <c r="W24" s="160" t="s">
        <v>64</v>
      </c>
      <c r="X24" s="160" t="s">
        <v>64</v>
      </c>
      <c r="Y24" s="160" t="s">
        <v>64</v>
      </c>
      <c r="Z24" s="160" t="s">
        <v>64</v>
      </c>
      <c r="AA24" s="160" t="s">
        <v>64</v>
      </c>
      <c r="AB24" s="161" t="s">
        <v>311</v>
      </c>
      <c r="AD24" s="160" t="s">
        <v>64</v>
      </c>
      <c r="AE24" s="160" t="s">
        <v>64</v>
      </c>
      <c r="AF24" s="160" t="s">
        <v>311</v>
      </c>
      <c r="AG24" s="160" t="s">
        <v>64</v>
      </c>
      <c r="AH24" s="160" t="s">
        <v>311</v>
      </c>
      <c r="AI24" s="161" t="s">
        <v>311</v>
      </c>
      <c r="AK24" s="160" t="s">
        <v>64</v>
      </c>
      <c r="AL24" s="160" t="s">
        <v>64</v>
      </c>
      <c r="AM24" s="160" t="s">
        <v>64</v>
      </c>
      <c r="AN24" s="160" t="s">
        <v>311</v>
      </c>
      <c r="AO24" s="160" t="s">
        <v>64</v>
      </c>
      <c r="AP24" s="161" t="s">
        <v>311</v>
      </c>
      <c r="AR24" s="160" t="s">
        <v>64</v>
      </c>
      <c r="AS24" s="160" t="s">
        <v>64</v>
      </c>
      <c r="AT24" s="160" t="s">
        <v>64</v>
      </c>
      <c r="AU24" s="160" t="s">
        <v>311</v>
      </c>
      <c r="AV24" s="160" t="s">
        <v>64</v>
      </c>
      <c r="AW24" s="161" t="s">
        <v>311</v>
      </c>
      <c r="AY24" s="160" t="s">
        <v>64</v>
      </c>
      <c r="AZ24" s="160" t="s">
        <v>64</v>
      </c>
      <c r="BA24" s="160" t="s">
        <v>311</v>
      </c>
      <c r="BB24" s="160" t="s">
        <v>64</v>
      </c>
      <c r="BC24" s="160" t="s">
        <v>311</v>
      </c>
      <c r="BD24" s="161" t="s">
        <v>311</v>
      </c>
      <c r="BF24" s="160" t="s">
        <v>64</v>
      </c>
      <c r="BG24" s="160" t="s">
        <v>64</v>
      </c>
      <c r="BH24" s="160" t="s">
        <v>64</v>
      </c>
      <c r="BI24" s="160" t="s">
        <v>311</v>
      </c>
      <c r="BJ24" s="160" t="s">
        <v>64</v>
      </c>
      <c r="BK24" s="161" t="s">
        <v>311</v>
      </c>
      <c r="BM24" s="160" t="s">
        <v>64</v>
      </c>
      <c r="BN24" s="161" t="s">
        <v>311</v>
      </c>
    </row>
    <row r="25" spans="1:66" x14ac:dyDescent="0.25">
      <c r="A25" s="16" t="s">
        <v>24</v>
      </c>
      <c r="B25" s="160" t="s">
        <v>64</v>
      </c>
      <c r="C25" s="160" t="s">
        <v>64</v>
      </c>
      <c r="D25" s="160" t="s">
        <v>64</v>
      </c>
      <c r="E25" s="160" t="s">
        <v>64</v>
      </c>
      <c r="F25" s="160" t="s">
        <v>64</v>
      </c>
      <c r="G25" s="161" t="s">
        <v>420</v>
      </c>
      <c r="I25" s="160" t="s">
        <v>64</v>
      </c>
      <c r="J25" s="160" t="s">
        <v>64</v>
      </c>
      <c r="K25" s="160" t="s">
        <v>311</v>
      </c>
      <c r="L25" s="160" t="s">
        <v>64</v>
      </c>
      <c r="M25" s="160" t="s">
        <v>311</v>
      </c>
      <c r="N25" s="161" t="s">
        <v>311</v>
      </c>
      <c r="P25" s="160" t="s">
        <v>64</v>
      </c>
      <c r="Q25" s="160" t="s">
        <v>311</v>
      </c>
      <c r="R25" s="160" t="s">
        <v>64</v>
      </c>
      <c r="S25" s="160" t="s">
        <v>311</v>
      </c>
      <c r="T25" s="160" t="s">
        <v>64</v>
      </c>
      <c r="U25" s="161" t="s">
        <v>311</v>
      </c>
      <c r="W25" s="160" t="s">
        <v>64</v>
      </c>
      <c r="X25" s="160" t="s">
        <v>64</v>
      </c>
      <c r="Y25" s="160" t="s">
        <v>64</v>
      </c>
      <c r="Z25" s="160" t="s">
        <v>222</v>
      </c>
      <c r="AA25" s="160" t="s">
        <v>64</v>
      </c>
      <c r="AB25" s="161" t="s">
        <v>311</v>
      </c>
      <c r="AD25" s="160" t="s">
        <v>222</v>
      </c>
      <c r="AE25" s="160" t="s">
        <v>222</v>
      </c>
      <c r="AF25" s="160" t="s">
        <v>311</v>
      </c>
      <c r="AG25" s="160" t="s">
        <v>222</v>
      </c>
      <c r="AH25" s="160" t="s">
        <v>311</v>
      </c>
      <c r="AI25" s="161" t="s">
        <v>311</v>
      </c>
      <c r="AK25" s="160" t="s">
        <v>64</v>
      </c>
      <c r="AL25" s="160" t="s">
        <v>64</v>
      </c>
      <c r="AM25" s="160" t="s">
        <v>64</v>
      </c>
      <c r="AN25" s="160" t="s">
        <v>311</v>
      </c>
      <c r="AO25" s="160" t="s">
        <v>64</v>
      </c>
      <c r="AP25" s="161" t="s">
        <v>311</v>
      </c>
      <c r="AR25" s="160" t="s">
        <v>222</v>
      </c>
      <c r="AS25" s="160" t="s">
        <v>222</v>
      </c>
      <c r="AT25" s="160" t="s">
        <v>222</v>
      </c>
      <c r="AU25" s="160" t="s">
        <v>311</v>
      </c>
      <c r="AV25" s="160" t="s">
        <v>222</v>
      </c>
      <c r="AW25" s="161" t="s">
        <v>311</v>
      </c>
      <c r="AY25" s="160" t="s">
        <v>222</v>
      </c>
      <c r="AZ25" s="160" t="s">
        <v>222</v>
      </c>
      <c r="BA25" s="160" t="s">
        <v>311</v>
      </c>
      <c r="BB25" s="160" t="s">
        <v>222</v>
      </c>
      <c r="BC25" s="160" t="s">
        <v>311</v>
      </c>
      <c r="BD25" s="161" t="s">
        <v>311</v>
      </c>
      <c r="BF25" s="160" t="s">
        <v>222</v>
      </c>
      <c r="BG25" s="160" t="s">
        <v>222</v>
      </c>
      <c r="BH25" s="160" t="s">
        <v>222</v>
      </c>
      <c r="BI25" s="160" t="s">
        <v>311</v>
      </c>
      <c r="BJ25" s="160" t="s">
        <v>222</v>
      </c>
      <c r="BK25" s="161" t="s">
        <v>311</v>
      </c>
      <c r="BM25" s="160" t="s">
        <v>222</v>
      </c>
      <c r="BN25" s="161" t="s">
        <v>311</v>
      </c>
    </row>
    <row r="26" spans="1:66" x14ac:dyDescent="0.25">
      <c r="A26" s="16" t="s">
        <v>33</v>
      </c>
      <c r="B26" s="160" t="s">
        <v>64</v>
      </c>
      <c r="C26" s="160" t="s">
        <v>64</v>
      </c>
      <c r="D26" s="160" t="s">
        <v>64</v>
      </c>
      <c r="E26" s="160" t="s">
        <v>64</v>
      </c>
      <c r="F26" s="160" t="s">
        <v>64</v>
      </c>
      <c r="G26" s="161" t="s">
        <v>420</v>
      </c>
      <c r="I26" s="160" t="s">
        <v>64</v>
      </c>
      <c r="J26" s="160" t="s">
        <v>64</v>
      </c>
      <c r="K26" s="160" t="s">
        <v>311</v>
      </c>
      <c r="L26" s="160" t="s">
        <v>64</v>
      </c>
      <c r="M26" s="160" t="s">
        <v>311</v>
      </c>
      <c r="N26" s="161" t="s">
        <v>311</v>
      </c>
      <c r="P26" s="160" t="s">
        <v>64</v>
      </c>
      <c r="Q26" s="160" t="s">
        <v>311</v>
      </c>
      <c r="R26" s="160" t="s">
        <v>64</v>
      </c>
      <c r="S26" s="160" t="s">
        <v>311</v>
      </c>
      <c r="T26" s="160" t="s">
        <v>387</v>
      </c>
      <c r="U26" s="161" t="s">
        <v>311</v>
      </c>
      <c r="W26" s="160" t="s">
        <v>64</v>
      </c>
      <c r="X26" s="160" t="s">
        <v>64</v>
      </c>
      <c r="Y26" s="160" t="s">
        <v>64</v>
      </c>
      <c r="Z26" s="160" t="s">
        <v>64</v>
      </c>
      <c r="AA26" s="160" t="s">
        <v>64</v>
      </c>
      <c r="AB26" s="161" t="s">
        <v>311</v>
      </c>
      <c r="AD26" s="160" t="s">
        <v>64</v>
      </c>
      <c r="AE26" s="160" t="s">
        <v>222</v>
      </c>
      <c r="AF26" s="160" t="s">
        <v>311</v>
      </c>
      <c r="AG26" s="160" t="s">
        <v>222</v>
      </c>
      <c r="AH26" s="160" t="s">
        <v>311</v>
      </c>
      <c r="AI26" s="161" t="s">
        <v>311</v>
      </c>
      <c r="AK26" s="160" t="s">
        <v>64</v>
      </c>
      <c r="AL26" s="160" t="s">
        <v>64</v>
      </c>
      <c r="AM26" s="160" t="s">
        <v>64</v>
      </c>
      <c r="AN26" s="160" t="s">
        <v>311</v>
      </c>
      <c r="AO26" s="160" t="s">
        <v>64</v>
      </c>
      <c r="AP26" s="161" t="s">
        <v>311</v>
      </c>
      <c r="AR26" s="160" t="s">
        <v>64</v>
      </c>
      <c r="AS26" s="160" t="s">
        <v>222</v>
      </c>
      <c r="AT26" s="160" t="s">
        <v>222</v>
      </c>
      <c r="AU26" s="160" t="s">
        <v>311</v>
      </c>
      <c r="AV26" s="160" t="s">
        <v>222</v>
      </c>
      <c r="AW26" s="161" t="s">
        <v>311</v>
      </c>
      <c r="AY26" s="160" t="s">
        <v>64</v>
      </c>
      <c r="AZ26" s="160" t="s">
        <v>64</v>
      </c>
      <c r="BA26" s="160" t="s">
        <v>311</v>
      </c>
      <c r="BB26" s="160" t="s">
        <v>213</v>
      </c>
      <c r="BC26" s="160" t="s">
        <v>311</v>
      </c>
      <c r="BD26" s="161" t="s">
        <v>311</v>
      </c>
      <c r="BF26" s="160" t="s">
        <v>64</v>
      </c>
      <c r="BG26" s="160" t="s">
        <v>64</v>
      </c>
      <c r="BH26" s="160" t="s">
        <v>64</v>
      </c>
      <c r="BI26" s="160" t="s">
        <v>311</v>
      </c>
      <c r="BJ26" s="160" t="s">
        <v>387</v>
      </c>
      <c r="BK26" s="161" t="s">
        <v>311</v>
      </c>
      <c r="BM26" s="160" t="s">
        <v>387</v>
      </c>
      <c r="BN26" s="161" t="s">
        <v>311</v>
      </c>
    </row>
    <row r="27" spans="1:66" x14ac:dyDescent="0.25">
      <c r="A27" s="16" t="s">
        <v>10</v>
      </c>
      <c r="B27" s="160" t="s">
        <v>64</v>
      </c>
      <c r="C27" s="160" t="s">
        <v>213</v>
      </c>
      <c r="D27" s="160" t="s">
        <v>64</v>
      </c>
      <c r="E27" s="160" t="s">
        <v>64</v>
      </c>
      <c r="F27" s="160" t="s">
        <v>213</v>
      </c>
      <c r="G27" s="161" t="s">
        <v>420</v>
      </c>
      <c r="I27" s="160" t="s">
        <v>64</v>
      </c>
      <c r="J27" s="160" t="s">
        <v>64</v>
      </c>
      <c r="K27" s="160" t="s">
        <v>311</v>
      </c>
      <c r="L27" s="160" t="s">
        <v>64</v>
      </c>
      <c r="M27" s="160" t="s">
        <v>311</v>
      </c>
      <c r="N27" s="161" t="s">
        <v>311</v>
      </c>
      <c r="P27" s="160" t="s">
        <v>64</v>
      </c>
      <c r="Q27" s="160" t="s">
        <v>311</v>
      </c>
      <c r="R27" s="160" t="s">
        <v>64</v>
      </c>
      <c r="S27" s="160" t="s">
        <v>311</v>
      </c>
      <c r="T27" s="160" t="s">
        <v>64</v>
      </c>
      <c r="U27" s="161" t="s">
        <v>311</v>
      </c>
      <c r="W27" s="160" t="s">
        <v>64</v>
      </c>
      <c r="X27" s="160" t="s">
        <v>64</v>
      </c>
      <c r="Y27" s="160" t="s">
        <v>213</v>
      </c>
      <c r="Z27" s="160" t="s">
        <v>64</v>
      </c>
      <c r="AA27" s="160" t="s">
        <v>213</v>
      </c>
      <c r="AB27" s="161" t="s">
        <v>311</v>
      </c>
      <c r="AD27" s="160" t="s">
        <v>64</v>
      </c>
      <c r="AE27" s="160" t="s">
        <v>64</v>
      </c>
      <c r="AF27" s="160" t="s">
        <v>311</v>
      </c>
      <c r="AG27" s="160" t="s">
        <v>64</v>
      </c>
      <c r="AH27" s="160" t="s">
        <v>311</v>
      </c>
      <c r="AI27" s="161" t="s">
        <v>311</v>
      </c>
      <c r="AK27" s="160" t="s">
        <v>64</v>
      </c>
      <c r="AL27" s="160" t="s">
        <v>64</v>
      </c>
      <c r="AM27" s="160" t="s">
        <v>64</v>
      </c>
      <c r="AN27" s="160" t="s">
        <v>311</v>
      </c>
      <c r="AO27" s="160" t="s">
        <v>213</v>
      </c>
      <c r="AP27" s="161" t="s">
        <v>311</v>
      </c>
      <c r="AR27" s="160" t="s">
        <v>64</v>
      </c>
      <c r="AS27" s="160" t="s">
        <v>64</v>
      </c>
      <c r="AT27" s="160" t="s">
        <v>64</v>
      </c>
      <c r="AU27" s="160" t="s">
        <v>311</v>
      </c>
      <c r="AV27" s="160" t="s">
        <v>64</v>
      </c>
      <c r="AW27" s="161" t="s">
        <v>311</v>
      </c>
      <c r="AY27" s="160" t="s">
        <v>64</v>
      </c>
      <c r="AZ27" s="160" t="s">
        <v>64</v>
      </c>
      <c r="BA27" s="160" t="s">
        <v>311</v>
      </c>
      <c r="BB27" s="160" t="s">
        <v>64</v>
      </c>
      <c r="BC27" s="160" t="s">
        <v>311</v>
      </c>
      <c r="BD27" s="161" t="s">
        <v>311</v>
      </c>
      <c r="BF27" s="160" t="s">
        <v>64</v>
      </c>
      <c r="BG27" s="160" t="s">
        <v>64</v>
      </c>
      <c r="BH27" s="160" t="s">
        <v>64</v>
      </c>
      <c r="BI27" s="160" t="s">
        <v>311</v>
      </c>
      <c r="BJ27" s="160" t="s">
        <v>64</v>
      </c>
      <c r="BK27" s="161" t="s">
        <v>311</v>
      </c>
      <c r="BM27" s="160" t="s">
        <v>64</v>
      </c>
      <c r="BN27" s="161" t="s">
        <v>311</v>
      </c>
    </row>
    <row r="28" spans="1:66" x14ac:dyDescent="0.25">
      <c r="A28" s="16" t="s">
        <v>358</v>
      </c>
      <c r="B28" s="160" t="s">
        <v>64</v>
      </c>
      <c r="C28" s="160" t="s">
        <v>64</v>
      </c>
      <c r="D28" s="160" t="s">
        <v>64</v>
      </c>
      <c r="E28" s="160" t="s">
        <v>64</v>
      </c>
      <c r="F28" s="160" t="s">
        <v>64</v>
      </c>
      <c r="G28" s="161" t="s">
        <v>420</v>
      </c>
      <c r="I28" s="160" t="s">
        <v>64</v>
      </c>
      <c r="J28" s="160" t="s">
        <v>64</v>
      </c>
      <c r="K28" s="160" t="s">
        <v>311</v>
      </c>
      <c r="L28" s="160" t="s">
        <v>64</v>
      </c>
      <c r="M28" s="160" t="s">
        <v>311</v>
      </c>
      <c r="N28" s="161" t="s">
        <v>311</v>
      </c>
      <c r="P28" s="160" t="s">
        <v>64</v>
      </c>
      <c r="Q28" s="160" t="s">
        <v>311</v>
      </c>
      <c r="R28" s="160" t="s">
        <v>64</v>
      </c>
      <c r="S28" s="160" t="s">
        <v>311</v>
      </c>
      <c r="T28" s="160" t="s">
        <v>64</v>
      </c>
      <c r="U28" s="161" t="s">
        <v>311</v>
      </c>
      <c r="W28" s="160" t="s">
        <v>64</v>
      </c>
      <c r="X28" s="160" t="s">
        <v>64</v>
      </c>
      <c r="Y28" s="160" t="s">
        <v>64</v>
      </c>
      <c r="Z28" s="160" t="s">
        <v>64</v>
      </c>
      <c r="AA28" s="160" t="s">
        <v>213</v>
      </c>
      <c r="AB28" s="161" t="s">
        <v>311</v>
      </c>
      <c r="AD28" s="160" t="s">
        <v>64</v>
      </c>
      <c r="AE28" s="160" t="s">
        <v>64</v>
      </c>
      <c r="AF28" s="160" t="s">
        <v>311</v>
      </c>
      <c r="AG28" s="160" t="s">
        <v>213</v>
      </c>
      <c r="AH28" s="160" t="s">
        <v>311</v>
      </c>
      <c r="AI28" s="161" t="s">
        <v>311</v>
      </c>
      <c r="AK28" s="160" t="s">
        <v>64</v>
      </c>
      <c r="AL28" s="160" t="s">
        <v>64</v>
      </c>
      <c r="AM28" s="160" t="s">
        <v>64</v>
      </c>
      <c r="AN28" s="160" t="s">
        <v>311</v>
      </c>
      <c r="AO28" s="160" t="s">
        <v>213</v>
      </c>
      <c r="AP28" s="161" t="s">
        <v>311</v>
      </c>
      <c r="AR28" s="160" t="s">
        <v>64</v>
      </c>
      <c r="AS28" s="160" t="s">
        <v>64</v>
      </c>
      <c r="AT28" s="160" t="s">
        <v>64</v>
      </c>
      <c r="AU28" s="160" t="s">
        <v>311</v>
      </c>
      <c r="AV28" s="160" t="s">
        <v>64</v>
      </c>
      <c r="AW28" s="161" t="s">
        <v>311</v>
      </c>
      <c r="AY28" s="160" t="s">
        <v>213</v>
      </c>
      <c r="AZ28" s="160" t="s">
        <v>64</v>
      </c>
      <c r="BA28" s="160" t="s">
        <v>311</v>
      </c>
      <c r="BB28" s="160" t="s">
        <v>213</v>
      </c>
      <c r="BC28" s="160" t="s">
        <v>311</v>
      </c>
      <c r="BD28" s="161" t="s">
        <v>311</v>
      </c>
      <c r="BF28" s="160" t="s">
        <v>64</v>
      </c>
      <c r="BG28" s="160" t="s">
        <v>64</v>
      </c>
      <c r="BH28" s="160" t="s">
        <v>64</v>
      </c>
      <c r="BI28" s="160" t="s">
        <v>311</v>
      </c>
      <c r="BJ28" s="160" t="s">
        <v>64</v>
      </c>
      <c r="BK28" s="161" t="s">
        <v>311</v>
      </c>
      <c r="BM28" s="160" t="s">
        <v>64</v>
      </c>
      <c r="BN28" s="161" t="s">
        <v>311</v>
      </c>
    </row>
    <row r="29" spans="1:66" x14ac:dyDescent="0.25">
      <c r="A29" s="16" t="s">
        <v>190</v>
      </c>
      <c r="B29" s="160" t="s">
        <v>64</v>
      </c>
      <c r="C29" s="160" t="s">
        <v>64</v>
      </c>
      <c r="D29" s="160" t="s">
        <v>64</v>
      </c>
      <c r="E29" s="160" t="s">
        <v>64</v>
      </c>
      <c r="F29" s="160" t="s">
        <v>64</v>
      </c>
      <c r="G29" s="161" t="s">
        <v>420</v>
      </c>
      <c r="I29" s="160" t="s">
        <v>64</v>
      </c>
      <c r="J29" s="160" t="s">
        <v>64</v>
      </c>
      <c r="K29" s="160" t="s">
        <v>311</v>
      </c>
      <c r="L29" s="160" t="s">
        <v>64</v>
      </c>
      <c r="M29" s="160" t="s">
        <v>311</v>
      </c>
      <c r="N29" s="161" t="s">
        <v>311</v>
      </c>
      <c r="P29" s="160" t="s">
        <v>213</v>
      </c>
      <c r="Q29" s="160" t="s">
        <v>311</v>
      </c>
      <c r="R29" s="160" t="s">
        <v>64</v>
      </c>
      <c r="S29" s="160" t="s">
        <v>311</v>
      </c>
      <c r="T29" s="160" t="s">
        <v>64</v>
      </c>
      <c r="U29" s="161" t="s">
        <v>311</v>
      </c>
      <c r="W29" s="160" t="s">
        <v>213</v>
      </c>
      <c r="X29" s="160" t="s">
        <v>64</v>
      </c>
      <c r="Y29" s="160" t="s">
        <v>64</v>
      </c>
      <c r="Z29" s="160" t="s">
        <v>64</v>
      </c>
      <c r="AA29" s="160" t="s">
        <v>64</v>
      </c>
      <c r="AB29" s="161" t="s">
        <v>311</v>
      </c>
      <c r="AD29" s="160" t="s">
        <v>64</v>
      </c>
      <c r="AE29" s="160" t="s">
        <v>64</v>
      </c>
      <c r="AF29" s="160" t="s">
        <v>311</v>
      </c>
      <c r="AG29" s="160" t="s">
        <v>64</v>
      </c>
      <c r="AH29" s="160" t="s">
        <v>311</v>
      </c>
      <c r="AI29" s="161" t="s">
        <v>311</v>
      </c>
      <c r="AK29" s="160" t="s">
        <v>213</v>
      </c>
      <c r="AL29" s="160" t="s">
        <v>64</v>
      </c>
      <c r="AM29" s="160" t="s">
        <v>64</v>
      </c>
      <c r="AN29" s="160" t="s">
        <v>311</v>
      </c>
      <c r="AO29" s="160" t="s">
        <v>64</v>
      </c>
      <c r="AP29" s="161" t="s">
        <v>311</v>
      </c>
      <c r="AR29" s="160" t="s">
        <v>64</v>
      </c>
      <c r="AS29" s="160" t="s">
        <v>64</v>
      </c>
      <c r="AT29" s="160" t="s">
        <v>64</v>
      </c>
      <c r="AU29" s="160" t="s">
        <v>311</v>
      </c>
      <c r="AV29" s="160" t="s">
        <v>64</v>
      </c>
      <c r="AW29" s="161" t="s">
        <v>311</v>
      </c>
      <c r="AY29" s="160" t="s">
        <v>213</v>
      </c>
      <c r="AZ29" s="160" t="s">
        <v>64</v>
      </c>
      <c r="BA29" s="160" t="s">
        <v>311</v>
      </c>
      <c r="BB29" s="160" t="s">
        <v>213</v>
      </c>
      <c r="BC29" s="160" t="s">
        <v>311</v>
      </c>
      <c r="BD29" s="161" t="s">
        <v>311</v>
      </c>
      <c r="BF29" s="160" t="s">
        <v>213</v>
      </c>
      <c r="BG29" s="160" t="s">
        <v>64</v>
      </c>
      <c r="BH29" s="160" t="s">
        <v>64</v>
      </c>
      <c r="BI29" s="160" t="s">
        <v>311</v>
      </c>
      <c r="BJ29" s="160" t="s">
        <v>64</v>
      </c>
      <c r="BK29" s="161" t="s">
        <v>311</v>
      </c>
      <c r="BM29" s="160" t="s">
        <v>64</v>
      </c>
      <c r="BN29" s="161" t="s">
        <v>311</v>
      </c>
    </row>
    <row r="30" spans="1:66" x14ac:dyDescent="0.25">
      <c r="A30" s="16" t="s">
        <v>11</v>
      </c>
      <c r="B30" s="160" t="s">
        <v>64</v>
      </c>
      <c r="C30" s="160" t="s">
        <v>64</v>
      </c>
      <c r="D30" s="160" t="s">
        <v>64</v>
      </c>
      <c r="E30" s="160" t="s">
        <v>64</v>
      </c>
      <c r="F30" s="160" t="s">
        <v>64</v>
      </c>
      <c r="G30" s="161" t="s">
        <v>420</v>
      </c>
      <c r="I30" s="160" t="s">
        <v>64</v>
      </c>
      <c r="J30" s="160" t="s">
        <v>64</v>
      </c>
      <c r="K30" s="160" t="s">
        <v>311</v>
      </c>
      <c r="L30" s="160" t="s">
        <v>64</v>
      </c>
      <c r="M30" s="160" t="s">
        <v>311</v>
      </c>
      <c r="N30" s="161" t="s">
        <v>311</v>
      </c>
      <c r="P30" s="160" t="s">
        <v>64</v>
      </c>
      <c r="Q30" s="160" t="s">
        <v>311</v>
      </c>
      <c r="R30" s="160" t="s">
        <v>64</v>
      </c>
      <c r="S30" s="160" t="s">
        <v>311</v>
      </c>
      <c r="T30" s="160" t="s">
        <v>64</v>
      </c>
      <c r="U30" s="161" t="s">
        <v>311</v>
      </c>
      <c r="W30" s="160" t="s">
        <v>64</v>
      </c>
      <c r="X30" s="160" t="s">
        <v>64</v>
      </c>
      <c r="Y30" s="160" t="s">
        <v>64</v>
      </c>
      <c r="Z30" s="160" t="s">
        <v>64</v>
      </c>
      <c r="AA30" s="160" t="s">
        <v>64</v>
      </c>
      <c r="AB30" s="161" t="s">
        <v>311</v>
      </c>
      <c r="AD30" s="160" t="s">
        <v>64</v>
      </c>
      <c r="AE30" s="160" t="s">
        <v>64</v>
      </c>
      <c r="AF30" s="160" t="s">
        <v>311</v>
      </c>
      <c r="AG30" s="160" t="s">
        <v>64</v>
      </c>
      <c r="AH30" s="160" t="s">
        <v>311</v>
      </c>
      <c r="AI30" s="161" t="s">
        <v>311</v>
      </c>
      <c r="AK30" s="160" t="s">
        <v>64</v>
      </c>
      <c r="AL30" s="160" t="s">
        <v>64</v>
      </c>
      <c r="AM30" s="160" t="s">
        <v>64</v>
      </c>
      <c r="AN30" s="160" t="s">
        <v>311</v>
      </c>
      <c r="AO30" s="160" t="s">
        <v>64</v>
      </c>
      <c r="AP30" s="161" t="s">
        <v>311</v>
      </c>
      <c r="AR30" s="160" t="s">
        <v>64</v>
      </c>
      <c r="AS30" s="160" t="s">
        <v>64</v>
      </c>
      <c r="AT30" s="160" t="s">
        <v>64</v>
      </c>
      <c r="AU30" s="160" t="s">
        <v>311</v>
      </c>
      <c r="AV30" s="160" t="s">
        <v>64</v>
      </c>
      <c r="AW30" s="161" t="s">
        <v>311</v>
      </c>
      <c r="AY30" s="160" t="s">
        <v>64</v>
      </c>
      <c r="AZ30" s="160" t="s">
        <v>64</v>
      </c>
      <c r="BA30" s="160" t="s">
        <v>311</v>
      </c>
      <c r="BB30" s="160" t="s">
        <v>64</v>
      </c>
      <c r="BC30" s="160" t="s">
        <v>311</v>
      </c>
      <c r="BD30" s="161" t="s">
        <v>311</v>
      </c>
      <c r="BF30" s="160" t="s">
        <v>64</v>
      </c>
      <c r="BG30" s="160" t="s">
        <v>64</v>
      </c>
      <c r="BH30" s="160" t="s">
        <v>64</v>
      </c>
      <c r="BI30" s="160" t="s">
        <v>311</v>
      </c>
      <c r="BJ30" s="160" t="s">
        <v>64</v>
      </c>
      <c r="BK30" s="161" t="s">
        <v>311</v>
      </c>
      <c r="BM30" s="160" t="s">
        <v>64</v>
      </c>
      <c r="BN30" s="161" t="s">
        <v>311</v>
      </c>
    </row>
    <row r="31" spans="1:66" x14ac:dyDescent="0.25">
      <c r="A31" s="16" t="s">
        <v>12</v>
      </c>
      <c r="B31" s="160" t="s">
        <v>64</v>
      </c>
      <c r="C31" s="160" t="s">
        <v>64</v>
      </c>
      <c r="D31" s="160" t="s">
        <v>64</v>
      </c>
      <c r="E31" s="160" t="s">
        <v>64</v>
      </c>
      <c r="F31" s="160" t="s">
        <v>64</v>
      </c>
      <c r="G31" s="161" t="s">
        <v>420</v>
      </c>
      <c r="I31" s="160" t="s">
        <v>64</v>
      </c>
      <c r="J31" s="160" t="s">
        <v>64</v>
      </c>
      <c r="K31" s="160" t="s">
        <v>311</v>
      </c>
      <c r="L31" s="160" t="s">
        <v>64</v>
      </c>
      <c r="M31" s="160" t="s">
        <v>311</v>
      </c>
      <c r="N31" s="161" t="s">
        <v>311</v>
      </c>
      <c r="P31" s="160" t="s">
        <v>64</v>
      </c>
      <c r="Q31" s="160" t="s">
        <v>311</v>
      </c>
      <c r="R31" s="160" t="s">
        <v>64</v>
      </c>
      <c r="S31" s="160" t="s">
        <v>311</v>
      </c>
      <c r="T31" s="160" t="s">
        <v>64</v>
      </c>
      <c r="U31" s="161" t="s">
        <v>311</v>
      </c>
      <c r="W31" s="160" t="s">
        <v>64</v>
      </c>
      <c r="X31" s="160" t="s">
        <v>64</v>
      </c>
      <c r="Y31" s="160" t="s">
        <v>64</v>
      </c>
      <c r="Z31" s="160" t="s">
        <v>64</v>
      </c>
      <c r="AA31" s="160" t="s">
        <v>64</v>
      </c>
      <c r="AB31" s="161" t="s">
        <v>311</v>
      </c>
      <c r="AD31" s="160" t="s">
        <v>64</v>
      </c>
      <c r="AE31" s="160" t="s">
        <v>64</v>
      </c>
      <c r="AF31" s="160" t="s">
        <v>311</v>
      </c>
      <c r="AG31" s="160" t="s">
        <v>64</v>
      </c>
      <c r="AH31" s="160" t="s">
        <v>311</v>
      </c>
      <c r="AI31" s="161" t="s">
        <v>311</v>
      </c>
      <c r="AK31" s="160" t="s">
        <v>64</v>
      </c>
      <c r="AL31" s="160" t="s">
        <v>64</v>
      </c>
      <c r="AM31" s="160" t="s">
        <v>64</v>
      </c>
      <c r="AN31" s="160" t="s">
        <v>311</v>
      </c>
      <c r="AO31" s="160" t="s">
        <v>64</v>
      </c>
      <c r="AP31" s="161" t="s">
        <v>311</v>
      </c>
      <c r="AR31" s="160" t="s">
        <v>64</v>
      </c>
      <c r="AS31" s="160" t="s">
        <v>64</v>
      </c>
      <c r="AT31" s="160" t="s">
        <v>64</v>
      </c>
      <c r="AU31" s="160" t="s">
        <v>311</v>
      </c>
      <c r="AV31" s="160" t="s">
        <v>64</v>
      </c>
      <c r="AW31" s="161" t="s">
        <v>311</v>
      </c>
      <c r="AY31" s="160" t="s">
        <v>64</v>
      </c>
      <c r="AZ31" s="160" t="s">
        <v>64</v>
      </c>
      <c r="BA31" s="160" t="s">
        <v>311</v>
      </c>
      <c r="BB31" s="160" t="s">
        <v>64</v>
      </c>
      <c r="BC31" s="160" t="s">
        <v>311</v>
      </c>
      <c r="BD31" s="161" t="s">
        <v>311</v>
      </c>
      <c r="BF31" s="160" t="s">
        <v>64</v>
      </c>
      <c r="BG31" s="160" t="s">
        <v>64</v>
      </c>
      <c r="BH31" s="160" t="s">
        <v>64</v>
      </c>
      <c r="BI31" s="160" t="s">
        <v>311</v>
      </c>
      <c r="BJ31" s="160" t="s">
        <v>64</v>
      </c>
      <c r="BK31" s="161" t="s">
        <v>311</v>
      </c>
      <c r="BM31" s="160" t="s">
        <v>64</v>
      </c>
      <c r="BN31" s="161" t="s">
        <v>311</v>
      </c>
    </row>
    <row r="32" spans="1:66" x14ac:dyDescent="0.25">
      <c r="A32" s="16" t="s">
        <v>13</v>
      </c>
      <c r="B32" s="160" t="s">
        <v>64</v>
      </c>
      <c r="C32" s="160" t="s">
        <v>64</v>
      </c>
      <c r="D32" s="160" t="s">
        <v>64</v>
      </c>
      <c r="E32" s="160" t="s">
        <v>64</v>
      </c>
      <c r="F32" s="160" t="s">
        <v>64</v>
      </c>
      <c r="G32" s="161" t="s">
        <v>420</v>
      </c>
      <c r="I32" s="160" t="s">
        <v>64</v>
      </c>
      <c r="J32" s="160" t="s">
        <v>64</v>
      </c>
      <c r="K32" s="160" t="s">
        <v>311</v>
      </c>
      <c r="L32" s="160" t="s">
        <v>64</v>
      </c>
      <c r="M32" s="160" t="s">
        <v>311</v>
      </c>
      <c r="N32" s="161" t="s">
        <v>311</v>
      </c>
      <c r="P32" s="160" t="s">
        <v>64</v>
      </c>
      <c r="Q32" s="160" t="s">
        <v>311</v>
      </c>
      <c r="R32" s="160" t="s">
        <v>64</v>
      </c>
      <c r="S32" s="160" t="s">
        <v>311</v>
      </c>
      <c r="T32" s="160" t="s">
        <v>64</v>
      </c>
      <c r="U32" s="161" t="s">
        <v>311</v>
      </c>
      <c r="W32" s="160" t="s">
        <v>64</v>
      </c>
      <c r="X32" s="160" t="s">
        <v>64</v>
      </c>
      <c r="Y32" s="160" t="s">
        <v>64</v>
      </c>
      <c r="Z32" s="160" t="s">
        <v>64</v>
      </c>
      <c r="AA32" s="160" t="s">
        <v>64</v>
      </c>
      <c r="AB32" s="161" t="s">
        <v>311</v>
      </c>
      <c r="AD32" s="160" t="s">
        <v>64</v>
      </c>
      <c r="AE32" s="160" t="s">
        <v>64</v>
      </c>
      <c r="AF32" s="160" t="s">
        <v>311</v>
      </c>
      <c r="AG32" s="160" t="s">
        <v>64</v>
      </c>
      <c r="AH32" s="160" t="s">
        <v>311</v>
      </c>
      <c r="AI32" s="161" t="s">
        <v>311</v>
      </c>
      <c r="AK32" s="160" t="s">
        <v>64</v>
      </c>
      <c r="AL32" s="160" t="s">
        <v>64</v>
      </c>
      <c r="AM32" s="160" t="s">
        <v>64</v>
      </c>
      <c r="AN32" s="160" t="s">
        <v>311</v>
      </c>
      <c r="AO32" s="160" t="s">
        <v>64</v>
      </c>
      <c r="AP32" s="161" t="s">
        <v>311</v>
      </c>
      <c r="AR32" s="160" t="s">
        <v>64</v>
      </c>
      <c r="AS32" s="160" t="s">
        <v>64</v>
      </c>
      <c r="AT32" s="160" t="s">
        <v>64</v>
      </c>
      <c r="AU32" s="160" t="s">
        <v>311</v>
      </c>
      <c r="AV32" s="160" t="s">
        <v>64</v>
      </c>
      <c r="AW32" s="161" t="s">
        <v>311</v>
      </c>
      <c r="AY32" s="160" t="s">
        <v>64</v>
      </c>
      <c r="AZ32" s="160" t="s">
        <v>64</v>
      </c>
      <c r="BA32" s="160" t="s">
        <v>311</v>
      </c>
      <c r="BB32" s="160" t="s">
        <v>64</v>
      </c>
      <c r="BC32" s="160" t="s">
        <v>311</v>
      </c>
      <c r="BD32" s="161" t="s">
        <v>311</v>
      </c>
      <c r="BF32" s="160" t="s">
        <v>64</v>
      </c>
      <c r="BG32" s="160" t="s">
        <v>64</v>
      </c>
      <c r="BH32" s="160" t="s">
        <v>64</v>
      </c>
      <c r="BI32" s="160" t="s">
        <v>311</v>
      </c>
      <c r="BJ32" s="160" t="s">
        <v>64</v>
      </c>
      <c r="BK32" s="161" t="s">
        <v>311</v>
      </c>
      <c r="BM32" s="160" t="s">
        <v>64</v>
      </c>
      <c r="BN32" s="161" t="s">
        <v>311</v>
      </c>
    </row>
    <row r="33" spans="1:66" x14ac:dyDescent="0.25">
      <c r="A33" s="16" t="s">
        <v>14</v>
      </c>
      <c r="B33" s="160" t="s">
        <v>64</v>
      </c>
      <c r="C33" s="160" t="s">
        <v>64</v>
      </c>
      <c r="D33" s="160" t="s">
        <v>64</v>
      </c>
      <c r="E33" s="160" t="s">
        <v>64</v>
      </c>
      <c r="F33" s="160" t="s">
        <v>64</v>
      </c>
      <c r="G33" s="161" t="s">
        <v>420</v>
      </c>
      <c r="I33" s="160" t="s">
        <v>64</v>
      </c>
      <c r="J33" s="160" t="s">
        <v>64</v>
      </c>
      <c r="K33" s="160" t="s">
        <v>311</v>
      </c>
      <c r="L33" s="160" t="s">
        <v>64</v>
      </c>
      <c r="M33" s="160" t="s">
        <v>311</v>
      </c>
      <c r="N33" s="161" t="s">
        <v>311</v>
      </c>
      <c r="P33" s="160" t="s">
        <v>64</v>
      </c>
      <c r="Q33" s="160" t="s">
        <v>311</v>
      </c>
      <c r="R33" s="160" t="s">
        <v>64</v>
      </c>
      <c r="S33" s="160" t="s">
        <v>311</v>
      </c>
      <c r="T33" s="160" t="s">
        <v>64</v>
      </c>
      <c r="U33" s="161" t="s">
        <v>311</v>
      </c>
      <c r="W33" s="160" t="s">
        <v>64</v>
      </c>
      <c r="X33" s="160" t="s">
        <v>64</v>
      </c>
      <c r="Y33" s="160" t="s">
        <v>64</v>
      </c>
      <c r="Z33" s="160" t="s">
        <v>64</v>
      </c>
      <c r="AA33" s="160" t="s">
        <v>64</v>
      </c>
      <c r="AB33" s="161" t="s">
        <v>311</v>
      </c>
      <c r="AD33" s="160" t="s">
        <v>64</v>
      </c>
      <c r="AE33" s="160" t="s">
        <v>64</v>
      </c>
      <c r="AF33" s="160" t="s">
        <v>311</v>
      </c>
      <c r="AG33" s="160" t="s">
        <v>64</v>
      </c>
      <c r="AH33" s="160" t="s">
        <v>311</v>
      </c>
      <c r="AI33" s="161" t="s">
        <v>311</v>
      </c>
      <c r="AK33" s="160" t="s">
        <v>64</v>
      </c>
      <c r="AL33" s="160" t="s">
        <v>64</v>
      </c>
      <c r="AM33" s="160" t="s">
        <v>64</v>
      </c>
      <c r="AN33" s="160" t="s">
        <v>311</v>
      </c>
      <c r="AO33" s="160" t="s">
        <v>64</v>
      </c>
      <c r="AP33" s="161" t="s">
        <v>311</v>
      </c>
      <c r="AR33" s="160" t="s">
        <v>64</v>
      </c>
      <c r="AS33" s="160" t="s">
        <v>64</v>
      </c>
      <c r="AT33" s="160" t="s">
        <v>64</v>
      </c>
      <c r="AU33" s="160" t="s">
        <v>311</v>
      </c>
      <c r="AV33" s="160" t="s">
        <v>64</v>
      </c>
      <c r="AW33" s="161" t="s">
        <v>311</v>
      </c>
      <c r="AY33" s="160" t="s">
        <v>64</v>
      </c>
      <c r="AZ33" s="160" t="s">
        <v>64</v>
      </c>
      <c r="BA33" s="160" t="s">
        <v>311</v>
      </c>
      <c r="BB33" s="160" t="s">
        <v>64</v>
      </c>
      <c r="BC33" s="160" t="s">
        <v>311</v>
      </c>
      <c r="BD33" s="161" t="s">
        <v>311</v>
      </c>
      <c r="BF33" s="160" t="s">
        <v>64</v>
      </c>
      <c r="BG33" s="160" t="s">
        <v>64</v>
      </c>
      <c r="BH33" s="160" t="s">
        <v>64</v>
      </c>
      <c r="BI33" s="160" t="s">
        <v>311</v>
      </c>
      <c r="BJ33" s="160" t="s">
        <v>64</v>
      </c>
      <c r="BK33" s="161" t="s">
        <v>311</v>
      </c>
      <c r="BM33" s="160" t="s">
        <v>64</v>
      </c>
      <c r="BN33" s="161" t="s">
        <v>311</v>
      </c>
    </row>
    <row r="34" spans="1:66" x14ac:dyDescent="0.25">
      <c r="A34" s="16" t="s">
        <v>15</v>
      </c>
      <c r="B34" s="160" t="s">
        <v>64</v>
      </c>
      <c r="C34" s="160" t="s">
        <v>64</v>
      </c>
      <c r="D34" s="160" t="s">
        <v>64</v>
      </c>
      <c r="E34" s="160" t="s">
        <v>64</v>
      </c>
      <c r="F34" s="160" t="s">
        <v>64</v>
      </c>
      <c r="G34" s="161" t="s">
        <v>420</v>
      </c>
      <c r="I34" s="160" t="s">
        <v>64</v>
      </c>
      <c r="J34" s="160" t="s">
        <v>64</v>
      </c>
      <c r="K34" s="160" t="s">
        <v>311</v>
      </c>
      <c r="L34" s="160" t="s">
        <v>64</v>
      </c>
      <c r="M34" s="160" t="s">
        <v>311</v>
      </c>
      <c r="N34" s="161" t="s">
        <v>311</v>
      </c>
      <c r="P34" s="160" t="s">
        <v>64</v>
      </c>
      <c r="Q34" s="160" t="s">
        <v>311</v>
      </c>
      <c r="R34" s="160" t="s">
        <v>64</v>
      </c>
      <c r="S34" s="160" t="s">
        <v>311</v>
      </c>
      <c r="T34" s="160" t="s">
        <v>64</v>
      </c>
      <c r="U34" s="161" t="s">
        <v>311</v>
      </c>
      <c r="W34" s="160" t="s">
        <v>213</v>
      </c>
      <c r="X34" s="160" t="s">
        <v>213</v>
      </c>
      <c r="Y34" s="160" t="s">
        <v>64</v>
      </c>
      <c r="Z34" s="160" t="s">
        <v>64</v>
      </c>
      <c r="AA34" s="160" t="s">
        <v>64</v>
      </c>
      <c r="AB34" s="161" t="s">
        <v>311</v>
      </c>
      <c r="AD34" s="160" t="s">
        <v>64</v>
      </c>
      <c r="AE34" s="160" t="s">
        <v>213</v>
      </c>
      <c r="AF34" s="160" t="s">
        <v>311</v>
      </c>
      <c r="AG34" s="160" t="s">
        <v>64</v>
      </c>
      <c r="AH34" s="160" t="s">
        <v>311</v>
      </c>
      <c r="AI34" s="161" t="s">
        <v>311</v>
      </c>
      <c r="AK34" s="160" t="s">
        <v>64</v>
      </c>
      <c r="AL34" s="160" t="s">
        <v>64</v>
      </c>
      <c r="AM34" s="160" t="s">
        <v>64</v>
      </c>
      <c r="AN34" s="160" t="s">
        <v>311</v>
      </c>
      <c r="AO34" s="160" t="s">
        <v>64</v>
      </c>
      <c r="AP34" s="161" t="s">
        <v>311</v>
      </c>
      <c r="AR34" s="160" t="s">
        <v>222</v>
      </c>
      <c r="AS34" s="160" t="s">
        <v>222</v>
      </c>
      <c r="AT34" s="160" t="s">
        <v>222</v>
      </c>
      <c r="AU34" s="160" t="s">
        <v>311</v>
      </c>
      <c r="AV34" s="160" t="s">
        <v>222</v>
      </c>
      <c r="AW34" s="161" t="s">
        <v>311</v>
      </c>
      <c r="AY34" s="160" t="s">
        <v>213</v>
      </c>
      <c r="AZ34" s="160" t="s">
        <v>64</v>
      </c>
      <c r="BA34" s="160" t="s">
        <v>311</v>
      </c>
      <c r="BB34" s="160" t="s">
        <v>64</v>
      </c>
      <c r="BC34" s="160" t="s">
        <v>311</v>
      </c>
      <c r="BD34" s="161" t="s">
        <v>311</v>
      </c>
      <c r="BF34" s="160" t="s">
        <v>64</v>
      </c>
      <c r="BG34" s="160" t="s">
        <v>64</v>
      </c>
      <c r="BH34" s="160" t="s">
        <v>64</v>
      </c>
      <c r="BI34" s="160" t="s">
        <v>311</v>
      </c>
      <c r="BJ34" s="160" t="s">
        <v>64</v>
      </c>
      <c r="BK34" s="161" t="s">
        <v>311</v>
      </c>
      <c r="BM34" s="160" t="s">
        <v>64</v>
      </c>
      <c r="BN34" s="161" t="s">
        <v>311</v>
      </c>
    </row>
    <row r="35" spans="1:66" x14ac:dyDescent="0.25">
      <c r="A35" s="16" t="s">
        <v>16</v>
      </c>
      <c r="B35" s="160" t="s">
        <v>64</v>
      </c>
      <c r="C35" s="160" t="s">
        <v>64</v>
      </c>
      <c r="D35" s="160" t="s">
        <v>64</v>
      </c>
      <c r="E35" s="160" t="s">
        <v>64</v>
      </c>
      <c r="F35" s="160" t="s">
        <v>64</v>
      </c>
      <c r="G35" s="161" t="s">
        <v>420</v>
      </c>
      <c r="I35" s="160" t="s">
        <v>64</v>
      </c>
      <c r="J35" s="160" t="s">
        <v>64</v>
      </c>
      <c r="K35" s="160" t="s">
        <v>311</v>
      </c>
      <c r="L35" s="160" t="s">
        <v>64</v>
      </c>
      <c r="M35" s="160" t="s">
        <v>311</v>
      </c>
      <c r="N35" s="161" t="s">
        <v>311</v>
      </c>
      <c r="P35" s="160" t="s">
        <v>64</v>
      </c>
      <c r="Q35" s="160" t="s">
        <v>311</v>
      </c>
      <c r="R35" s="160" t="s">
        <v>64</v>
      </c>
      <c r="S35" s="160" t="s">
        <v>311</v>
      </c>
      <c r="T35" s="160" t="s">
        <v>64</v>
      </c>
      <c r="U35" s="161" t="s">
        <v>311</v>
      </c>
      <c r="W35" s="160" t="s">
        <v>64</v>
      </c>
      <c r="X35" s="160" t="s">
        <v>64</v>
      </c>
      <c r="Y35" s="160" t="s">
        <v>64</v>
      </c>
      <c r="Z35" s="160" t="s">
        <v>64</v>
      </c>
      <c r="AA35" s="160" t="s">
        <v>64</v>
      </c>
      <c r="AB35" s="161" t="s">
        <v>311</v>
      </c>
      <c r="AD35" s="160" t="s">
        <v>64</v>
      </c>
      <c r="AE35" s="160" t="s">
        <v>64</v>
      </c>
      <c r="AF35" s="160" t="s">
        <v>311</v>
      </c>
      <c r="AG35" s="160" t="s">
        <v>64</v>
      </c>
      <c r="AH35" s="160" t="s">
        <v>311</v>
      </c>
      <c r="AI35" s="161" t="s">
        <v>311</v>
      </c>
      <c r="AK35" s="160" t="s">
        <v>64</v>
      </c>
      <c r="AL35" s="160" t="s">
        <v>64</v>
      </c>
      <c r="AM35" s="160" t="s">
        <v>64</v>
      </c>
      <c r="AN35" s="160" t="s">
        <v>311</v>
      </c>
      <c r="AO35" s="160" t="s">
        <v>64</v>
      </c>
      <c r="AP35" s="161" t="s">
        <v>311</v>
      </c>
      <c r="AR35" s="160" t="s">
        <v>64</v>
      </c>
      <c r="AS35" s="160" t="s">
        <v>64</v>
      </c>
      <c r="AT35" s="160" t="s">
        <v>64</v>
      </c>
      <c r="AU35" s="160" t="s">
        <v>311</v>
      </c>
      <c r="AV35" s="160" t="s">
        <v>64</v>
      </c>
      <c r="AW35" s="161" t="s">
        <v>311</v>
      </c>
      <c r="AY35" s="160" t="s">
        <v>64</v>
      </c>
      <c r="AZ35" s="160" t="s">
        <v>64</v>
      </c>
      <c r="BA35" s="160" t="s">
        <v>311</v>
      </c>
      <c r="BB35" s="160" t="s">
        <v>64</v>
      </c>
      <c r="BC35" s="160" t="s">
        <v>311</v>
      </c>
      <c r="BD35" s="161" t="s">
        <v>311</v>
      </c>
      <c r="BF35" s="160" t="s">
        <v>64</v>
      </c>
      <c r="BG35" s="160" t="s">
        <v>64</v>
      </c>
      <c r="BH35" s="160" t="s">
        <v>64</v>
      </c>
      <c r="BI35" s="160" t="s">
        <v>311</v>
      </c>
      <c r="BJ35" s="160" t="s">
        <v>64</v>
      </c>
      <c r="BK35" s="161" t="s">
        <v>311</v>
      </c>
      <c r="BM35" s="160" t="s">
        <v>213</v>
      </c>
      <c r="BN35" s="161" t="s">
        <v>311</v>
      </c>
    </row>
    <row r="36" spans="1:66" x14ac:dyDescent="0.25">
      <c r="A36" s="16" t="s">
        <v>17</v>
      </c>
      <c r="B36" s="160" t="s">
        <v>64</v>
      </c>
      <c r="C36" s="160" t="s">
        <v>64</v>
      </c>
      <c r="D36" s="160" t="s">
        <v>64</v>
      </c>
      <c r="E36" s="160" t="s">
        <v>64</v>
      </c>
      <c r="F36" s="160" t="s">
        <v>64</v>
      </c>
      <c r="G36" s="161" t="s">
        <v>420</v>
      </c>
      <c r="I36" s="160" t="s">
        <v>64</v>
      </c>
      <c r="J36" s="160" t="s">
        <v>64</v>
      </c>
      <c r="K36" s="160" t="s">
        <v>311</v>
      </c>
      <c r="L36" s="160" t="s">
        <v>64</v>
      </c>
      <c r="M36" s="160" t="s">
        <v>311</v>
      </c>
      <c r="N36" s="161" t="s">
        <v>311</v>
      </c>
      <c r="P36" s="160" t="s">
        <v>64</v>
      </c>
      <c r="Q36" s="160" t="s">
        <v>311</v>
      </c>
      <c r="R36" s="160" t="s">
        <v>64</v>
      </c>
      <c r="S36" s="160" t="s">
        <v>311</v>
      </c>
      <c r="T36" s="160" t="s">
        <v>64</v>
      </c>
      <c r="U36" s="161" t="s">
        <v>311</v>
      </c>
      <c r="W36" s="160" t="s">
        <v>64</v>
      </c>
      <c r="X36" s="160" t="s">
        <v>64</v>
      </c>
      <c r="Y36" s="160" t="s">
        <v>64</v>
      </c>
      <c r="Z36" s="160" t="s">
        <v>64</v>
      </c>
      <c r="AA36" s="160" t="s">
        <v>64</v>
      </c>
      <c r="AB36" s="161" t="s">
        <v>311</v>
      </c>
      <c r="AD36" s="160" t="s">
        <v>64</v>
      </c>
      <c r="AE36" s="160" t="s">
        <v>64</v>
      </c>
      <c r="AF36" s="160" t="s">
        <v>311</v>
      </c>
      <c r="AG36" s="160" t="s">
        <v>64</v>
      </c>
      <c r="AH36" s="160" t="s">
        <v>311</v>
      </c>
      <c r="AI36" s="161" t="s">
        <v>311</v>
      </c>
      <c r="AK36" s="160" t="s">
        <v>64</v>
      </c>
      <c r="AL36" s="160" t="s">
        <v>64</v>
      </c>
      <c r="AM36" s="160" t="s">
        <v>64</v>
      </c>
      <c r="AN36" s="160" t="s">
        <v>311</v>
      </c>
      <c r="AO36" s="160" t="s">
        <v>64</v>
      </c>
      <c r="AP36" s="161" t="s">
        <v>311</v>
      </c>
      <c r="AR36" s="160" t="s">
        <v>64</v>
      </c>
      <c r="AS36" s="160" t="s">
        <v>64</v>
      </c>
      <c r="AT36" s="160" t="s">
        <v>64</v>
      </c>
      <c r="AU36" s="160" t="s">
        <v>311</v>
      </c>
      <c r="AV36" s="160" t="s">
        <v>64</v>
      </c>
      <c r="AW36" s="161" t="s">
        <v>311</v>
      </c>
      <c r="AY36" s="160" t="s">
        <v>64</v>
      </c>
      <c r="AZ36" s="160" t="s">
        <v>64</v>
      </c>
      <c r="BA36" s="160" t="s">
        <v>311</v>
      </c>
      <c r="BB36" s="160" t="s">
        <v>64</v>
      </c>
      <c r="BC36" s="160" t="s">
        <v>311</v>
      </c>
      <c r="BD36" s="161" t="s">
        <v>311</v>
      </c>
      <c r="BF36" s="160" t="s">
        <v>64</v>
      </c>
      <c r="BG36" s="160" t="s">
        <v>64</v>
      </c>
      <c r="BH36" s="160" t="s">
        <v>64</v>
      </c>
      <c r="BI36" s="160" t="s">
        <v>311</v>
      </c>
      <c r="BJ36" s="160" t="s">
        <v>64</v>
      </c>
      <c r="BK36" s="161" t="s">
        <v>311</v>
      </c>
      <c r="BM36" s="160" t="s">
        <v>64</v>
      </c>
      <c r="BN36" s="161" t="s">
        <v>311</v>
      </c>
    </row>
    <row r="37" spans="1:66" x14ac:dyDescent="0.25">
      <c r="A37" s="16" t="s">
        <v>18</v>
      </c>
      <c r="B37" s="160" t="s">
        <v>64</v>
      </c>
      <c r="C37" s="160" t="s">
        <v>64</v>
      </c>
      <c r="D37" s="160" t="s">
        <v>64</v>
      </c>
      <c r="E37" s="160" t="s">
        <v>64</v>
      </c>
      <c r="F37" s="160" t="s">
        <v>64</v>
      </c>
      <c r="G37" s="161" t="s">
        <v>420</v>
      </c>
      <c r="I37" s="160" t="s">
        <v>64</v>
      </c>
      <c r="J37" s="160" t="s">
        <v>64</v>
      </c>
      <c r="K37" s="160" t="s">
        <v>311</v>
      </c>
      <c r="L37" s="160" t="s">
        <v>64</v>
      </c>
      <c r="M37" s="160" t="s">
        <v>311</v>
      </c>
      <c r="N37" s="161" t="s">
        <v>311</v>
      </c>
      <c r="P37" s="160" t="s">
        <v>64</v>
      </c>
      <c r="Q37" s="160" t="s">
        <v>311</v>
      </c>
      <c r="R37" s="160" t="s">
        <v>64</v>
      </c>
      <c r="S37" s="160" t="s">
        <v>311</v>
      </c>
      <c r="T37" s="160" t="s">
        <v>64</v>
      </c>
      <c r="U37" s="161" t="s">
        <v>311</v>
      </c>
      <c r="W37" s="160" t="s">
        <v>64</v>
      </c>
      <c r="X37" s="160" t="s">
        <v>64</v>
      </c>
      <c r="Y37" s="160" t="s">
        <v>64</v>
      </c>
      <c r="Z37" s="160" t="s">
        <v>64</v>
      </c>
      <c r="AA37" s="160" t="s">
        <v>64</v>
      </c>
      <c r="AB37" s="161" t="s">
        <v>311</v>
      </c>
      <c r="AD37" s="160" t="s">
        <v>64</v>
      </c>
      <c r="AE37" s="160" t="s">
        <v>64</v>
      </c>
      <c r="AF37" s="160" t="s">
        <v>311</v>
      </c>
      <c r="AG37" s="160" t="s">
        <v>64</v>
      </c>
      <c r="AH37" s="160" t="s">
        <v>311</v>
      </c>
      <c r="AI37" s="161" t="s">
        <v>311</v>
      </c>
      <c r="AK37" s="160" t="s">
        <v>64</v>
      </c>
      <c r="AL37" s="160" t="s">
        <v>64</v>
      </c>
      <c r="AM37" s="160" t="s">
        <v>64</v>
      </c>
      <c r="AN37" s="160" t="s">
        <v>311</v>
      </c>
      <c r="AO37" s="160" t="s">
        <v>64</v>
      </c>
      <c r="AP37" s="161" t="s">
        <v>311</v>
      </c>
      <c r="AR37" s="160" t="s">
        <v>64</v>
      </c>
      <c r="AS37" s="160" t="s">
        <v>64</v>
      </c>
      <c r="AT37" s="160" t="s">
        <v>64</v>
      </c>
      <c r="AU37" s="160" t="s">
        <v>311</v>
      </c>
      <c r="AV37" s="160" t="s">
        <v>64</v>
      </c>
      <c r="AW37" s="161" t="s">
        <v>311</v>
      </c>
      <c r="AY37" s="160" t="s">
        <v>64</v>
      </c>
      <c r="AZ37" s="160" t="s">
        <v>64</v>
      </c>
      <c r="BA37" s="160" t="s">
        <v>311</v>
      </c>
      <c r="BB37" s="160" t="s">
        <v>64</v>
      </c>
      <c r="BC37" s="160" t="s">
        <v>311</v>
      </c>
      <c r="BD37" s="161" t="s">
        <v>311</v>
      </c>
      <c r="BF37" s="160" t="s">
        <v>64</v>
      </c>
      <c r="BG37" s="160" t="s">
        <v>64</v>
      </c>
      <c r="BH37" s="160" t="s">
        <v>64</v>
      </c>
      <c r="BI37" s="160" t="s">
        <v>311</v>
      </c>
      <c r="BJ37" s="160" t="s">
        <v>64</v>
      </c>
      <c r="BK37" s="161" t="s">
        <v>311</v>
      </c>
      <c r="BM37" s="160" t="s">
        <v>64</v>
      </c>
      <c r="BN37" s="161" t="s">
        <v>311</v>
      </c>
    </row>
    <row r="38" spans="1:66" x14ac:dyDescent="0.25">
      <c r="A38" s="16" t="s">
        <v>360</v>
      </c>
      <c r="B38" s="160" t="s">
        <v>64</v>
      </c>
      <c r="C38" s="160" t="s">
        <v>64</v>
      </c>
      <c r="D38" s="160" t="s">
        <v>64</v>
      </c>
      <c r="E38" s="160" t="s">
        <v>64</v>
      </c>
      <c r="F38" s="160" t="s">
        <v>64</v>
      </c>
      <c r="G38" s="161" t="s">
        <v>420</v>
      </c>
      <c r="I38" s="160" t="s">
        <v>64</v>
      </c>
      <c r="J38" s="160" t="s">
        <v>64</v>
      </c>
      <c r="K38" s="160" t="s">
        <v>311</v>
      </c>
      <c r="L38" s="160" t="s">
        <v>64</v>
      </c>
      <c r="M38" s="160" t="s">
        <v>311</v>
      </c>
      <c r="N38" s="161" t="s">
        <v>311</v>
      </c>
      <c r="P38" s="160" t="s">
        <v>64</v>
      </c>
      <c r="Q38" s="160" t="s">
        <v>311</v>
      </c>
      <c r="R38" s="160" t="s">
        <v>213</v>
      </c>
      <c r="S38" s="160" t="s">
        <v>311</v>
      </c>
      <c r="T38" s="160" t="s">
        <v>64</v>
      </c>
      <c r="U38" s="161" t="s">
        <v>311</v>
      </c>
      <c r="W38" s="160" t="s">
        <v>64</v>
      </c>
      <c r="X38" s="160" t="s">
        <v>64</v>
      </c>
      <c r="Y38" s="160" t="s">
        <v>213</v>
      </c>
      <c r="Z38" s="160" t="s">
        <v>64</v>
      </c>
      <c r="AA38" s="160" t="s">
        <v>64</v>
      </c>
      <c r="AB38" s="161" t="s">
        <v>311</v>
      </c>
      <c r="AD38" s="160" t="s">
        <v>64</v>
      </c>
      <c r="AE38" s="160" t="s">
        <v>64</v>
      </c>
      <c r="AF38" s="160" t="s">
        <v>311</v>
      </c>
      <c r="AG38" s="160" t="s">
        <v>64</v>
      </c>
      <c r="AH38" s="160" t="s">
        <v>311</v>
      </c>
      <c r="AI38" s="161" t="s">
        <v>311</v>
      </c>
      <c r="AK38" s="160" t="s">
        <v>64</v>
      </c>
      <c r="AL38" s="160" t="s">
        <v>64</v>
      </c>
      <c r="AM38" s="160" t="s">
        <v>64</v>
      </c>
      <c r="AN38" s="160" t="s">
        <v>311</v>
      </c>
      <c r="AO38" s="160" t="s">
        <v>64</v>
      </c>
      <c r="AP38" s="161" t="s">
        <v>311</v>
      </c>
      <c r="AR38" s="160" t="s">
        <v>222</v>
      </c>
      <c r="AS38" s="160" t="s">
        <v>222</v>
      </c>
      <c r="AT38" s="160" t="s">
        <v>222</v>
      </c>
      <c r="AU38" s="160" t="s">
        <v>311</v>
      </c>
      <c r="AV38" s="160" t="s">
        <v>222</v>
      </c>
      <c r="AW38" s="161" t="s">
        <v>311</v>
      </c>
      <c r="AY38" s="160" t="s">
        <v>222</v>
      </c>
      <c r="AZ38" s="160" t="s">
        <v>222</v>
      </c>
      <c r="BA38" s="160" t="s">
        <v>311</v>
      </c>
      <c r="BB38" s="160" t="s">
        <v>222</v>
      </c>
      <c r="BC38" s="160" t="s">
        <v>311</v>
      </c>
      <c r="BD38" s="161" t="s">
        <v>311</v>
      </c>
      <c r="BF38" s="160" t="s">
        <v>222</v>
      </c>
      <c r="BG38" s="160" t="s">
        <v>222</v>
      </c>
      <c r="BH38" s="160" t="s">
        <v>222</v>
      </c>
      <c r="BI38" s="160" t="s">
        <v>311</v>
      </c>
      <c r="BJ38" s="160" t="s">
        <v>222</v>
      </c>
      <c r="BK38" s="161" t="s">
        <v>311</v>
      </c>
      <c r="BM38" s="160" t="s">
        <v>64</v>
      </c>
      <c r="BN38" s="161" t="s">
        <v>311</v>
      </c>
    </row>
    <row r="39" spans="1:66" x14ac:dyDescent="0.25">
      <c r="A39" s="16" t="s">
        <v>19</v>
      </c>
      <c r="B39" s="160" t="s">
        <v>64</v>
      </c>
      <c r="C39" s="160" t="s">
        <v>64</v>
      </c>
      <c r="D39" s="160" t="s">
        <v>64</v>
      </c>
      <c r="E39" s="160" t="s">
        <v>64</v>
      </c>
      <c r="F39" s="160" t="s">
        <v>64</v>
      </c>
      <c r="G39" s="161" t="s">
        <v>420</v>
      </c>
      <c r="I39" s="160" t="s">
        <v>64</v>
      </c>
      <c r="J39" s="160" t="s">
        <v>64</v>
      </c>
      <c r="K39" s="160" t="s">
        <v>311</v>
      </c>
      <c r="L39" s="160" t="s">
        <v>64</v>
      </c>
      <c r="M39" s="160" t="s">
        <v>311</v>
      </c>
      <c r="N39" s="161" t="s">
        <v>311</v>
      </c>
      <c r="P39" s="160" t="s">
        <v>64</v>
      </c>
      <c r="Q39" s="160" t="s">
        <v>311</v>
      </c>
      <c r="R39" s="160" t="s">
        <v>64</v>
      </c>
      <c r="S39" s="160" t="s">
        <v>311</v>
      </c>
      <c r="T39" s="160" t="s">
        <v>64</v>
      </c>
      <c r="U39" s="161" t="s">
        <v>311</v>
      </c>
      <c r="W39" s="160" t="s">
        <v>64</v>
      </c>
      <c r="X39" s="160" t="s">
        <v>64</v>
      </c>
      <c r="Y39" s="160" t="s">
        <v>64</v>
      </c>
      <c r="Z39" s="160" t="s">
        <v>64</v>
      </c>
      <c r="AA39" s="160" t="s">
        <v>64</v>
      </c>
      <c r="AB39" s="161" t="s">
        <v>311</v>
      </c>
      <c r="AD39" s="160" t="s">
        <v>64</v>
      </c>
      <c r="AE39" s="160" t="s">
        <v>64</v>
      </c>
      <c r="AF39" s="160" t="s">
        <v>311</v>
      </c>
      <c r="AG39" s="160" t="s">
        <v>64</v>
      </c>
      <c r="AH39" s="160" t="s">
        <v>311</v>
      </c>
      <c r="AI39" s="161" t="s">
        <v>311</v>
      </c>
      <c r="AK39" s="160" t="s">
        <v>64</v>
      </c>
      <c r="AL39" s="160" t="s">
        <v>64</v>
      </c>
      <c r="AM39" s="160" t="s">
        <v>64</v>
      </c>
      <c r="AN39" s="160" t="s">
        <v>311</v>
      </c>
      <c r="AO39" s="160" t="s">
        <v>64</v>
      </c>
      <c r="AP39" s="161" t="s">
        <v>311</v>
      </c>
      <c r="AR39" s="160" t="s">
        <v>64</v>
      </c>
      <c r="AS39" s="160" t="s">
        <v>64</v>
      </c>
      <c r="AT39" s="160" t="s">
        <v>64</v>
      </c>
      <c r="AU39" s="160" t="s">
        <v>311</v>
      </c>
      <c r="AV39" s="160" t="s">
        <v>64</v>
      </c>
      <c r="AW39" s="161" t="s">
        <v>311</v>
      </c>
      <c r="AY39" s="160" t="s">
        <v>64</v>
      </c>
      <c r="AZ39" s="160" t="s">
        <v>64</v>
      </c>
      <c r="BA39" s="160" t="s">
        <v>311</v>
      </c>
      <c r="BB39" s="160" t="s">
        <v>64</v>
      </c>
      <c r="BC39" s="160" t="s">
        <v>311</v>
      </c>
      <c r="BD39" s="161" t="s">
        <v>311</v>
      </c>
      <c r="BF39" s="160" t="s">
        <v>64</v>
      </c>
      <c r="BG39" s="160" t="s">
        <v>64</v>
      </c>
      <c r="BH39" s="160" t="s">
        <v>64</v>
      </c>
      <c r="BI39" s="160" t="s">
        <v>311</v>
      </c>
      <c r="BJ39" s="160" t="s">
        <v>64</v>
      </c>
      <c r="BK39" s="161" t="s">
        <v>311</v>
      </c>
      <c r="BM39" s="160" t="s">
        <v>64</v>
      </c>
      <c r="BN39" s="161" t="s">
        <v>311</v>
      </c>
    </row>
    <row r="40" spans="1:66" x14ac:dyDescent="0.25">
      <c r="A40" s="16" t="s">
        <v>385</v>
      </c>
      <c r="B40" s="160" t="s">
        <v>64</v>
      </c>
      <c r="C40" s="160" t="s">
        <v>64</v>
      </c>
      <c r="D40" s="160" t="s">
        <v>64</v>
      </c>
      <c r="E40" s="160" t="s">
        <v>64</v>
      </c>
      <c r="F40" s="160" t="s">
        <v>213</v>
      </c>
      <c r="G40" s="161" t="s">
        <v>420</v>
      </c>
      <c r="I40" s="160" t="s">
        <v>64</v>
      </c>
      <c r="J40" s="160" t="s">
        <v>64</v>
      </c>
      <c r="K40" s="160" t="s">
        <v>311</v>
      </c>
      <c r="L40" s="160" t="s">
        <v>64</v>
      </c>
      <c r="M40" s="160" t="s">
        <v>311</v>
      </c>
      <c r="N40" s="161" t="s">
        <v>311</v>
      </c>
      <c r="P40" s="160" t="s">
        <v>64</v>
      </c>
      <c r="Q40" s="160" t="s">
        <v>311</v>
      </c>
      <c r="R40" s="160" t="s">
        <v>64</v>
      </c>
      <c r="S40" s="160" t="s">
        <v>311</v>
      </c>
      <c r="T40" s="160" t="s">
        <v>64</v>
      </c>
      <c r="U40" s="161" t="s">
        <v>311</v>
      </c>
      <c r="W40" s="160" t="s">
        <v>64</v>
      </c>
      <c r="X40" s="160" t="s">
        <v>64</v>
      </c>
      <c r="Y40" s="160" t="s">
        <v>64</v>
      </c>
      <c r="Z40" s="160" t="s">
        <v>64</v>
      </c>
      <c r="AA40" s="160" t="s">
        <v>64</v>
      </c>
      <c r="AB40" s="161" t="s">
        <v>311</v>
      </c>
      <c r="AD40" s="160" t="s">
        <v>64</v>
      </c>
      <c r="AE40" s="160" t="s">
        <v>64</v>
      </c>
      <c r="AF40" s="160" t="s">
        <v>311</v>
      </c>
      <c r="AG40" s="160" t="s">
        <v>64</v>
      </c>
      <c r="AH40" s="160" t="s">
        <v>311</v>
      </c>
      <c r="AI40" s="161" t="s">
        <v>311</v>
      </c>
      <c r="AK40" s="160" t="s">
        <v>64</v>
      </c>
      <c r="AL40" s="160" t="s">
        <v>213</v>
      </c>
      <c r="AM40" s="160" t="s">
        <v>64</v>
      </c>
      <c r="AN40" s="160" t="s">
        <v>311</v>
      </c>
      <c r="AO40" s="160" t="s">
        <v>64</v>
      </c>
      <c r="AP40" s="161" t="s">
        <v>311</v>
      </c>
      <c r="AR40" s="160" t="s">
        <v>64</v>
      </c>
      <c r="AS40" s="160" t="s">
        <v>64</v>
      </c>
      <c r="AT40" s="160" t="s">
        <v>64</v>
      </c>
      <c r="AU40" s="160" t="s">
        <v>311</v>
      </c>
      <c r="AV40" s="160" t="s">
        <v>64</v>
      </c>
      <c r="AW40" s="161" t="s">
        <v>311</v>
      </c>
      <c r="AY40" s="160" t="s">
        <v>64</v>
      </c>
      <c r="AZ40" s="160" t="s">
        <v>64</v>
      </c>
      <c r="BA40" s="160" t="s">
        <v>311</v>
      </c>
      <c r="BB40" s="160" t="s">
        <v>64</v>
      </c>
      <c r="BC40" s="160" t="s">
        <v>311</v>
      </c>
      <c r="BD40" s="161" t="s">
        <v>311</v>
      </c>
      <c r="BF40" s="160" t="s">
        <v>64</v>
      </c>
      <c r="BG40" s="160" t="s">
        <v>213</v>
      </c>
      <c r="BH40" s="160" t="s">
        <v>64</v>
      </c>
      <c r="BI40" s="160" t="s">
        <v>311</v>
      </c>
      <c r="BJ40" s="160" t="s">
        <v>64</v>
      </c>
      <c r="BK40" s="161" t="s">
        <v>311</v>
      </c>
      <c r="BM40" s="160" t="s">
        <v>64</v>
      </c>
      <c r="BN40" s="161" t="s">
        <v>311</v>
      </c>
    </row>
    <row r="41" spans="1:66" x14ac:dyDescent="0.25">
      <c r="A41" s="16" t="s">
        <v>31</v>
      </c>
      <c r="B41" s="160" t="s">
        <v>64</v>
      </c>
      <c r="C41" s="160" t="s">
        <v>64</v>
      </c>
      <c r="D41" s="160" t="s">
        <v>64</v>
      </c>
      <c r="E41" s="160" t="s">
        <v>64</v>
      </c>
      <c r="F41" s="160" t="s">
        <v>64</v>
      </c>
      <c r="G41" s="161" t="s">
        <v>420</v>
      </c>
      <c r="I41" s="160" t="s">
        <v>64</v>
      </c>
      <c r="J41" s="160" t="s">
        <v>64</v>
      </c>
      <c r="K41" s="160" t="s">
        <v>311</v>
      </c>
      <c r="L41" s="160" t="s">
        <v>64</v>
      </c>
      <c r="M41" s="160" t="s">
        <v>311</v>
      </c>
      <c r="N41" s="161" t="s">
        <v>311</v>
      </c>
      <c r="P41" s="160" t="s">
        <v>64</v>
      </c>
      <c r="Q41" s="160" t="s">
        <v>311</v>
      </c>
      <c r="R41" s="160" t="s">
        <v>64</v>
      </c>
      <c r="S41" s="160" t="s">
        <v>311</v>
      </c>
      <c r="T41" s="160" t="s">
        <v>64</v>
      </c>
      <c r="U41" s="161" t="s">
        <v>311</v>
      </c>
      <c r="W41" s="160" t="s">
        <v>64</v>
      </c>
      <c r="X41" s="160" t="s">
        <v>64</v>
      </c>
      <c r="Y41" s="160" t="s">
        <v>64</v>
      </c>
      <c r="Z41" s="160" t="s">
        <v>64</v>
      </c>
      <c r="AA41" s="160" t="s">
        <v>64</v>
      </c>
      <c r="AB41" s="161" t="s">
        <v>311</v>
      </c>
      <c r="AD41" s="160" t="s">
        <v>64</v>
      </c>
      <c r="AE41" s="160" t="s">
        <v>64</v>
      </c>
      <c r="AF41" s="160" t="s">
        <v>311</v>
      </c>
      <c r="AG41" s="160" t="s">
        <v>64</v>
      </c>
      <c r="AH41" s="160" t="s">
        <v>311</v>
      </c>
      <c r="AI41" s="161" t="s">
        <v>311</v>
      </c>
      <c r="AK41" s="160" t="s">
        <v>64</v>
      </c>
      <c r="AL41" s="160" t="s">
        <v>64</v>
      </c>
      <c r="AM41" s="160" t="s">
        <v>64</v>
      </c>
      <c r="AN41" s="160" t="s">
        <v>311</v>
      </c>
      <c r="AO41" s="160" t="s">
        <v>64</v>
      </c>
      <c r="AP41" s="161" t="s">
        <v>311</v>
      </c>
      <c r="AR41" s="160" t="s">
        <v>222</v>
      </c>
      <c r="AS41" s="160" t="s">
        <v>222</v>
      </c>
      <c r="AT41" s="160" t="s">
        <v>222</v>
      </c>
      <c r="AU41" s="160" t="s">
        <v>311</v>
      </c>
      <c r="AV41" s="160" t="s">
        <v>222</v>
      </c>
      <c r="AW41" s="161" t="s">
        <v>311</v>
      </c>
      <c r="AY41" s="160" t="s">
        <v>222</v>
      </c>
      <c r="AZ41" s="160" t="s">
        <v>222</v>
      </c>
      <c r="BA41" s="160" t="s">
        <v>311</v>
      </c>
      <c r="BB41" s="160" t="s">
        <v>222</v>
      </c>
      <c r="BC41" s="160" t="s">
        <v>311</v>
      </c>
      <c r="BD41" s="161" t="s">
        <v>311</v>
      </c>
      <c r="BF41" s="160" t="s">
        <v>64</v>
      </c>
      <c r="BG41" s="160" t="s">
        <v>64</v>
      </c>
      <c r="BH41" s="160" t="s">
        <v>64</v>
      </c>
      <c r="BI41" s="160" t="s">
        <v>311</v>
      </c>
      <c r="BJ41" s="160" t="s">
        <v>64</v>
      </c>
      <c r="BK41" s="161" t="s">
        <v>311</v>
      </c>
      <c r="BM41" s="160" t="s">
        <v>64</v>
      </c>
      <c r="BN41" s="161" t="s">
        <v>311</v>
      </c>
    </row>
    <row r="42" spans="1:66" x14ac:dyDescent="0.25">
      <c r="A42" s="16" t="s">
        <v>20</v>
      </c>
      <c r="B42" s="160" t="s">
        <v>64</v>
      </c>
      <c r="C42" s="160" t="s">
        <v>64</v>
      </c>
      <c r="D42" s="160" t="s">
        <v>64</v>
      </c>
      <c r="E42" s="160" t="s">
        <v>64</v>
      </c>
      <c r="F42" s="160" t="s">
        <v>64</v>
      </c>
      <c r="G42" s="161" t="s">
        <v>420</v>
      </c>
      <c r="I42" s="160" t="s">
        <v>64</v>
      </c>
      <c r="J42" s="160" t="s">
        <v>64</v>
      </c>
      <c r="K42" s="160" t="s">
        <v>311</v>
      </c>
      <c r="L42" s="160" t="s">
        <v>64</v>
      </c>
      <c r="M42" s="160" t="s">
        <v>311</v>
      </c>
      <c r="N42" s="161" t="s">
        <v>311</v>
      </c>
      <c r="P42" s="160" t="s">
        <v>64</v>
      </c>
      <c r="Q42" s="160" t="s">
        <v>311</v>
      </c>
      <c r="R42" s="160" t="s">
        <v>64</v>
      </c>
      <c r="S42" s="160" t="s">
        <v>311</v>
      </c>
      <c r="T42" s="160" t="s">
        <v>64</v>
      </c>
      <c r="U42" s="161" t="s">
        <v>311</v>
      </c>
      <c r="W42" s="160" t="s">
        <v>64</v>
      </c>
      <c r="X42" s="160" t="s">
        <v>64</v>
      </c>
      <c r="Y42" s="160" t="s">
        <v>64</v>
      </c>
      <c r="Z42" s="160" t="s">
        <v>64</v>
      </c>
      <c r="AA42" s="160" t="s">
        <v>64</v>
      </c>
      <c r="AB42" s="161" t="s">
        <v>311</v>
      </c>
      <c r="AD42" s="160" t="s">
        <v>64</v>
      </c>
      <c r="AE42" s="160" t="s">
        <v>64</v>
      </c>
      <c r="AF42" s="160" t="s">
        <v>311</v>
      </c>
      <c r="AG42" s="160" t="s">
        <v>64</v>
      </c>
      <c r="AH42" s="160" t="s">
        <v>311</v>
      </c>
      <c r="AI42" s="161" t="s">
        <v>311</v>
      </c>
      <c r="AK42" s="160" t="s">
        <v>64</v>
      </c>
      <c r="AL42" s="160" t="s">
        <v>64</v>
      </c>
      <c r="AM42" s="160" t="s">
        <v>64</v>
      </c>
      <c r="AN42" s="160" t="s">
        <v>311</v>
      </c>
      <c r="AO42" s="160" t="s">
        <v>64</v>
      </c>
      <c r="AP42" s="161" t="s">
        <v>311</v>
      </c>
      <c r="AR42" s="160" t="s">
        <v>213</v>
      </c>
      <c r="AS42" s="160" t="s">
        <v>64</v>
      </c>
      <c r="AT42" s="160" t="s">
        <v>64</v>
      </c>
      <c r="AU42" s="160" t="s">
        <v>311</v>
      </c>
      <c r="AV42" s="160" t="s">
        <v>64</v>
      </c>
      <c r="AW42" s="161" t="s">
        <v>311</v>
      </c>
      <c r="AY42" s="160" t="s">
        <v>222</v>
      </c>
      <c r="AZ42" s="160" t="s">
        <v>222</v>
      </c>
      <c r="BA42" s="160" t="s">
        <v>311</v>
      </c>
      <c r="BB42" s="160" t="s">
        <v>222</v>
      </c>
      <c r="BC42" s="160" t="s">
        <v>311</v>
      </c>
      <c r="BD42" s="161" t="s">
        <v>311</v>
      </c>
      <c r="BF42" s="160" t="s">
        <v>64</v>
      </c>
      <c r="BG42" s="160" t="s">
        <v>64</v>
      </c>
      <c r="BH42" s="160" t="s">
        <v>64</v>
      </c>
      <c r="BI42" s="160" t="s">
        <v>311</v>
      </c>
      <c r="BJ42" s="160" t="s">
        <v>64</v>
      </c>
      <c r="BK42" s="161" t="s">
        <v>311</v>
      </c>
      <c r="BM42" s="160" t="s">
        <v>64</v>
      </c>
      <c r="BN42" s="161" t="s">
        <v>311</v>
      </c>
    </row>
    <row r="43" spans="1:66" x14ac:dyDescent="0.25">
      <c r="A43" s="16" t="s">
        <v>42</v>
      </c>
      <c r="B43" s="160" t="s">
        <v>64</v>
      </c>
      <c r="C43" s="160" t="s">
        <v>64</v>
      </c>
      <c r="D43" s="160" t="s">
        <v>64</v>
      </c>
      <c r="E43" s="160" t="s">
        <v>64</v>
      </c>
      <c r="F43" s="160" t="s">
        <v>64</v>
      </c>
      <c r="G43" s="161" t="s">
        <v>420</v>
      </c>
      <c r="I43" s="160" t="s">
        <v>64</v>
      </c>
      <c r="J43" s="160" t="s">
        <v>64</v>
      </c>
      <c r="K43" s="160" t="s">
        <v>311</v>
      </c>
      <c r="L43" s="160" t="s">
        <v>64</v>
      </c>
      <c r="M43" s="160" t="s">
        <v>311</v>
      </c>
      <c r="N43" s="161" t="s">
        <v>311</v>
      </c>
      <c r="P43" s="160" t="s">
        <v>64</v>
      </c>
      <c r="Q43" s="160" t="s">
        <v>311</v>
      </c>
      <c r="R43" s="160" t="s">
        <v>64</v>
      </c>
      <c r="S43" s="160" t="s">
        <v>311</v>
      </c>
      <c r="T43" s="160" t="s">
        <v>64</v>
      </c>
      <c r="U43" s="161" t="s">
        <v>311</v>
      </c>
      <c r="W43" s="160" t="s">
        <v>64</v>
      </c>
      <c r="X43" s="160" t="s">
        <v>64</v>
      </c>
      <c r="Y43" s="160" t="s">
        <v>64</v>
      </c>
      <c r="Z43" s="160" t="s">
        <v>64</v>
      </c>
      <c r="AA43" s="160" t="s">
        <v>64</v>
      </c>
      <c r="AB43" s="161" t="s">
        <v>311</v>
      </c>
      <c r="AD43" s="160" t="s">
        <v>64</v>
      </c>
      <c r="AE43" s="160" t="s">
        <v>64</v>
      </c>
      <c r="AF43" s="160" t="s">
        <v>311</v>
      </c>
      <c r="AG43" s="160" t="s">
        <v>64</v>
      </c>
      <c r="AH43" s="160" t="s">
        <v>311</v>
      </c>
      <c r="AI43" s="161" t="s">
        <v>311</v>
      </c>
      <c r="AK43" s="160" t="s">
        <v>64</v>
      </c>
      <c r="AL43" s="160" t="s">
        <v>64</v>
      </c>
      <c r="AM43" s="160" t="s">
        <v>64</v>
      </c>
      <c r="AN43" s="160" t="s">
        <v>311</v>
      </c>
      <c r="AO43" s="160" t="s">
        <v>64</v>
      </c>
      <c r="AP43" s="161" t="s">
        <v>311</v>
      </c>
      <c r="AR43" s="160" t="s">
        <v>64</v>
      </c>
      <c r="AS43" s="160" t="s">
        <v>64</v>
      </c>
      <c r="AT43" s="160" t="s">
        <v>64</v>
      </c>
      <c r="AU43" s="160" t="s">
        <v>311</v>
      </c>
      <c r="AV43" s="160" t="s">
        <v>64</v>
      </c>
      <c r="AW43" s="161" t="s">
        <v>311</v>
      </c>
      <c r="AY43" s="160" t="s">
        <v>64</v>
      </c>
      <c r="AZ43" s="160" t="s">
        <v>64</v>
      </c>
      <c r="BA43" s="160" t="s">
        <v>311</v>
      </c>
      <c r="BB43" s="160" t="s">
        <v>64</v>
      </c>
      <c r="BC43" s="160" t="s">
        <v>311</v>
      </c>
      <c r="BD43" s="161" t="s">
        <v>311</v>
      </c>
      <c r="BF43" s="160" t="s">
        <v>64</v>
      </c>
      <c r="BG43" s="160" t="s">
        <v>64</v>
      </c>
      <c r="BH43" s="160" t="s">
        <v>64</v>
      </c>
      <c r="BI43" s="160" t="s">
        <v>311</v>
      </c>
      <c r="BJ43" s="160" t="s">
        <v>64</v>
      </c>
      <c r="BK43" s="161" t="s">
        <v>311</v>
      </c>
      <c r="BM43" s="160" t="s">
        <v>64</v>
      </c>
      <c r="BN43" s="161" t="s">
        <v>311</v>
      </c>
    </row>
    <row r="44" spans="1:66" x14ac:dyDescent="0.25">
      <c r="A44" s="16" t="s">
        <v>43</v>
      </c>
      <c r="B44" s="160" t="s">
        <v>213</v>
      </c>
      <c r="C44" s="160" t="s">
        <v>64</v>
      </c>
      <c r="D44" s="160" t="s">
        <v>64</v>
      </c>
      <c r="E44" s="160" t="s">
        <v>64</v>
      </c>
      <c r="F44" s="160" t="s">
        <v>64</v>
      </c>
      <c r="G44" s="161" t="s">
        <v>420</v>
      </c>
      <c r="I44" s="160" t="s">
        <v>64</v>
      </c>
      <c r="J44" s="160" t="s">
        <v>64</v>
      </c>
      <c r="K44" s="160" t="s">
        <v>311</v>
      </c>
      <c r="L44" s="160" t="s">
        <v>64</v>
      </c>
      <c r="M44" s="160" t="s">
        <v>311</v>
      </c>
      <c r="N44" s="161" t="s">
        <v>311</v>
      </c>
      <c r="P44" s="160" t="s">
        <v>64</v>
      </c>
      <c r="Q44" s="160" t="s">
        <v>311</v>
      </c>
      <c r="R44" s="160" t="s">
        <v>64</v>
      </c>
      <c r="S44" s="160" t="s">
        <v>311</v>
      </c>
      <c r="T44" s="160" t="s">
        <v>64</v>
      </c>
      <c r="U44" s="161" t="s">
        <v>311</v>
      </c>
      <c r="W44" s="160" t="s">
        <v>213</v>
      </c>
      <c r="X44" s="160" t="s">
        <v>213</v>
      </c>
      <c r="Y44" s="160" t="s">
        <v>213</v>
      </c>
      <c r="Z44" s="160" t="s">
        <v>64</v>
      </c>
      <c r="AA44" s="160" t="s">
        <v>64</v>
      </c>
      <c r="AB44" s="161" t="s">
        <v>311</v>
      </c>
      <c r="AD44" s="160" t="s">
        <v>64</v>
      </c>
      <c r="AE44" s="160" t="s">
        <v>64</v>
      </c>
      <c r="AF44" s="160" t="s">
        <v>311</v>
      </c>
      <c r="AG44" s="160" t="s">
        <v>64</v>
      </c>
      <c r="AH44" s="160" t="s">
        <v>311</v>
      </c>
      <c r="AI44" s="161" t="s">
        <v>311</v>
      </c>
      <c r="AK44" s="160" t="s">
        <v>64</v>
      </c>
      <c r="AL44" s="160" t="s">
        <v>213</v>
      </c>
      <c r="AM44" s="160" t="s">
        <v>213</v>
      </c>
      <c r="AN44" s="160" t="s">
        <v>311</v>
      </c>
      <c r="AO44" s="160" t="s">
        <v>213</v>
      </c>
      <c r="AP44" s="161" t="s">
        <v>311</v>
      </c>
      <c r="AR44" s="160" t="s">
        <v>64</v>
      </c>
      <c r="AS44" s="160" t="s">
        <v>64</v>
      </c>
      <c r="AT44" s="160" t="s">
        <v>64</v>
      </c>
      <c r="AU44" s="160" t="s">
        <v>311</v>
      </c>
      <c r="AV44" s="160" t="s">
        <v>64</v>
      </c>
      <c r="AW44" s="161" t="s">
        <v>311</v>
      </c>
      <c r="AY44" s="160" t="s">
        <v>64</v>
      </c>
      <c r="AZ44" s="160" t="s">
        <v>64</v>
      </c>
      <c r="BA44" s="160" t="s">
        <v>311</v>
      </c>
      <c r="BB44" s="160" t="s">
        <v>64</v>
      </c>
      <c r="BC44" s="160" t="s">
        <v>311</v>
      </c>
      <c r="BD44" s="161" t="s">
        <v>311</v>
      </c>
      <c r="BF44" s="160" t="s">
        <v>64</v>
      </c>
      <c r="BG44" s="160" t="s">
        <v>64</v>
      </c>
      <c r="BH44" s="160" t="s">
        <v>64</v>
      </c>
      <c r="BI44" s="160" t="s">
        <v>311</v>
      </c>
      <c r="BJ44" s="160" t="s">
        <v>64</v>
      </c>
      <c r="BK44" s="161" t="s">
        <v>311</v>
      </c>
      <c r="BM44" s="160" t="s">
        <v>64</v>
      </c>
      <c r="BN44" s="161" t="s">
        <v>311</v>
      </c>
    </row>
    <row r="45" spans="1:66" x14ac:dyDescent="0.25">
      <c r="A45" s="16" t="s">
        <v>34</v>
      </c>
      <c r="B45" s="160" t="s">
        <v>64</v>
      </c>
      <c r="C45" s="160" t="s">
        <v>213</v>
      </c>
      <c r="D45" s="160" t="s">
        <v>64</v>
      </c>
      <c r="E45" s="160" t="s">
        <v>64</v>
      </c>
      <c r="F45" s="160" t="s">
        <v>64</v>
      </c>
      <c r="G45" s="161" t="s">
        <v>420</v>
      </c>
      <c r="I45" s="160" t="s">
        <v>64</v>
      </c>
      <c r="J45" s="160" t="s">
        <v>64</v>
      </c>
      <c r="K45" s="160" t="s">
        <v>311</v>
      </c>
      <c r="L45" s="160" t="s">
        <v>64</v>
      </c>
      <c r="M45" s="160" t="s">
        <v>311</v>
      </c>
      <c r="N45" s="161" t="s">
        <v>311</v>
      </c>
      <c r="P45" s="160" t="s">
        <v>64</v>
      </c>
      <c r="Q45" s="160" t="s">
        <v>311</v>
      </c>
      <c r="R45" s="160" t="s">
        <v>64</v>
      </c>
      <c r="S45" s="160" t="s">
        <v>311</v>
      </c>
      <c r="T45" s="160" t="s">
        <v>64</v>
      </c>
      <c r="U45" s="161" t="s">
        <v>311</v>
      </c>
      <c r="W45" s="160" t="s">
        <v>64</v>
      </c>
      <c r="X45" s="160" t="s">
        <v>64</v>
      </c>
      <c r="Y45" s="160" t="s">
        <v>64</v>
      </c>
      <c r="Z45" s="160" t="s">
        <v>64</v>
      </c>
      <c r="AA45" s="160" t="s">
        <v>64</v>
      </c>
      <c r="AB45" s="161" t="s">
        <v>311</v>
      </c>
      <c r="AD45" s="160" t="s">
        <v>64</v>
      </c>
      <c r="AE45" s="160" t="s">
        <v>64</v>
      </c>
      <c r="AF45" s="160" t="s">
        <v>311</v>
      </c>
      <c r="AG45" s="160" t="s">
        <v>64</v>
      </c>
      <c r="AH45" s="160" t="s">
        <v>311</v>
      </c>
      <c r="AI45" s="161" t="s">
        <v>311</v>
      </c>
      <c r="AK45" s="160" t="s">
        <v>64</v>
      </c>
      <c r="AL45" s="160" t="s">
        <v>64</v>
      </c>
      <c r="AM45" s="160" t="s">
        <v>64</v>
      </c>
      <c r="AN45" s="160" t="s">
        <v>311</v>
      </c>
      <c r="AO45" s="160" t="s">
        <v>64</v>
      </c>
      <c r="AP45" s="161" t="s">
        <v>311</v>
      </c>
      <c r="AR45" s="160" t="s">
        <v>222</v>
      </c>
      <c r="AS45" s="160" t="s">
        <v>222</v>
      </c>
      <c r="AT45" s="160" t="s">
        <v>64</v>
      </c>
      <c r="AU45" s="160" t="s">
        <v>311</v>
      </c>
      <c r="AV45" s="160" t="s">
        <v>222</v>
      </c>
      <c r="AW45" s="161" t="s">
        <v>311</v>
      </c>
      <c r="AY45" s="160" t="s">
        <v>222</v>
      </c>
      <c r="AZ45" s="160" t="s">
        <v>222</v>
      </c>
      <c r="BA45" s="160" t="s">
        <v>311</v>
      </c>
      <c r="BB45" s="160" t="s">
        <v>222</v>
      </c>
      <c r="BC45" s="160" t="s">
        <v>311</v>
      </c>
      <c r="BD45" s="161" t="s">
        <v>311</v>
      </c>
      <c r="BF45" s="160" t="s">
        <v>222</v>
      </c>
      <c r="BG45" s="160" t="s">
        <v>222</v>
      </c>
      <c r="BH45" s="160" t="s">
        <v>64</v>
      </c>
      <c r="BI45" s="160" t="s">
        <v>311</v>
      </c>
      <c r="BJ45" s="160" t="s">
        <v>222</v>
      </c>
      <c r="BK45" s="161" t="s">
        <v>311</v>
      </c>
      <c r="BM45" s="160" t="s">
        <v>222</v>
      </c>
      <c r="BN45" s="161" t="s">
        <v>311</v>
      </c>
    </row>
    <row r="46" spans="1:66" x14ac:dyDescent="0.25">
      <c r="A46" s="16" t="s">
        <v>35</v>
      </c>
      <c r="B46" s="160" t="s">
        <v>64</v>
      </c>
      <c r="C46" s="160" t="s">
        <v>64</v>
      </c>
      <c r="D46" s="160" t="s">
        <v>64</v>
      </c>
      <c r="E46" s="160" t="s">
        <v>64</v>
      </c>
      <c r="F46" s="160" t="s">
        <v>64</v>
      </c>
      <c r="G46" s="161" t="s">
        <v>420</v>
      </c>
      <c r="I46" s="160" t="s">
        <v>64</v>
      </c>
      <c r="J46" s="160" t="s">
        <v>64</v>
      </c>
      <c r="K46" s="160" t="s">
        <v>311</v>
      </c>
      <c r="L46" s="160" t="s">
        <v>64</v>
      </c>
      <c r="M46" s="160" t="s">
        <v>311</v>
      </c>
      <c r="N46" s="161" t="s">
        <v>311</v>
      </c>
      <c r="P46" s="160" t="s">
        <v>64</v>
      </c>
      <c r="Q46" s="160" t="s">
        <v>311</v>
      </c>
      <c r="R46" s="160" t="s">
        <v>64</v>
      </c>
      <c r="S46" s="160" t="s">
        <v>311</v>
      </c>
      <c r="T46" s="160" t="s">
        <v>64</v>
      </c>
      <c r="U46" s="161" t="s">
        <v>311</v>
      </c>
      <c r="W46" s="160" t="s">
        <v>64</v>
      </c>
      <c r="X46" s="160" t="s">
        <v>64</v>
      </c>
      <c r="Y46" s="160" t="s">
        <v>64</v>
      </c>
      <c r="Z46" s="160" t="s">
        <v>222</v>
      </c>
      <c r="AA46" s="160" t="s">
        <v>64</v>
      </c>
      <c r="AB46" s="161" t="s">
        <v>311</v>
      </c>
      <c r="AD46" s="160" t="s">
        <v>222</v>
      </c>
      <c r="AE46" s="160" t="s">
        <v>222</v>
      </c>
      <c r="AF46" s="160" t="s">
        <v>311</v>
      </c>
      <c r="AG46" s="160" t="s">
        <v>222</v>
      </c>
      <c r="AH46" s="160" t="s">
        <v>311</v>
      </c>
      <c r="AI46" s="161" t="s">
        <v>311</v>
      </c>
      <c r="AK46" s="160" t="s">
        <v>64</v>
      </c>
      <c r="AL46" s="160" t="s">
        <v>64</v>
      </c>
      <c r="AM46" s="160" t="s">
        <v>64</v>
      </c>
      <c r="AN46" s="160" t="s">
        <v>311</v>
      </c>
      <c r="AO46" s="160" t="s">
        <v>64</v>
      </c>
      <c r="AP46" s="161" t="s">
        <v>311</v>
      </c>
      <c r="AR46" s="160" t="s">
        <v>222</v>
      </c>
      <c r="AS46" s="160" t="s">
        <v>222</v>
      </c>
      <c r="AT46" s="160" t="s">
        <v>222</v>
      </c>
      <c r="AU46" s="160" t="s">
        <v>311</v>
      </c>
      <c r="AV46" s="160" t="s">
        <v>222</v>
      </c>
      <c r="AW46" s="161" t="s">
        <v>311</v>
      </c>
      <c r="AY46" s="160" t="s">
        <v>222</v>
      </c>
      <c r="AZ46" s="160" t="s">
        <v>222</v>
      </c>
      <c r="BA46" s="160" t="s">
        <v>311</v>
      </c>
      <c r="BB46" s="160" t="s">
        <v>222</v>
      </c>
      <c r="BC46" s="160" t="s">
        <v>311</v>
      </c>
      <c r="BD46" s="161" t="s">
        <v>311</v>
      </c>
      <c r="BF46" s="160" t="s">
        <v>222</v>
      </c>
      <c r="BG46" s="160" t="s">
        <v>222</v>
      </c>
      <c r="BH46" s="160" t="s">
        <v>222</v>
      </c>
      <c r="BI46" s="160" t="s">
        <v>311</v>
      </c>
      <c r="BJ46" s="160" t="s">
        <v>222</v>
      </c>
      <c r="BK46" s="161" t="s">
        <v>311</v>
      </c>
      <c r="BM46" s="160" t="s">
        <v>64</v>
      </c>
      <c r="BN46" s="161" t="s">
        <v>311</v>
      </c>
    </row>
    <row r="47" spans="1:66" x14ac:dyDescent="0.25">
      <c r="A47" s="16" t="s">
        <v>386</v>
      </c>
      <c r="B47" s="160" t="s">
        <v>64</v>
      </c>
      <c r="C47" s="160" t="s">
        <v>64</v>
      </c>
      <c r="D47" s="160" t="s">
        <v>64</v>
      </c>
      <c r="E47" s="160" t="s">
        <v>64</v>
      </c>
      <c r="F47" s="160" t="s">
        <v>64</v>
      </c>
      <c r="G47" s="161" t="s">
        <v>420</v>
      </c>
      <c r="I47" s="160" t="s">
        <v>64</v>
      </c>
      <c r="J47" s="160" t="s">
        <v>64</v>
      </c>
      <c r="K47" s="160" t="s">
        <v>311</v>
      </c>
      <c r="L47" s="160" t="s">
        <v>64</v>
      </c>
      <c r="M47" s="160" t="s">
        <v>311</v>
      </c>
      <c r="N47" s="161" t="s">
        <v>311</v>
      </c>
      <c r="P47" s="160" t="s">
        <v>64</v>
      </c>
      <c r="Q47" s="160" t="s">
        <v>311</v>
      </c>
      <c r="R47" s="160" t="s">
        <v>64</v>
      </c>
      <c r="S47" s="160" t="s">
        <v>311</v>
      </c>
      <c r="T47" s="160" t="s">
        <v>64</v>
      </c>
      <c r="U47" s="161" t="s">
        <v>311</v>
      </c>
      <c r="W47" s="160" t="s">
        <v>64</v>
      </c>
      <c r="X47" s="160" t="s">
        <v>64</v>
      </c>
      <c r="Y47" s="160" t="s">
        <v>64</v>
      </c>
      <c r="Z47" s="160" t="s">
        <v>64</v>
      </c>
      <c r="AA47" s="160" t="s">
        <v>64</v>
      </c>
      <c r="AB47" s="161" t="s">
        <v>311</v>
      </c>
      <c r="AD47" s="160" t="s">
        <v>64</v>
      </c>
      <c r="AE47" s="160" t="s">
        <v>64</v>
      </c>
      <c r="AF47" s="160" t="s">
        <v>311</v>
      </c>
      <c r="AG47" s="160" t="s">
        <v>64</v>
      </c>
      <c r="AH47" s="160" t="s">
        <v>311</v>
      </c>
      <c r="AI47" s="161" t="s">
        <v>311</v>
      </c>
      <c r="AK47" s="160" t="s">
        <v>64</v>
      </c>
      <c r="AL47" s="160" t="s">
        <v>64</v>
      </c>
      <c r="AM47" s="160" t="s">
        <v>64</v>
      </c>
      <c r="AN47" s="160" t="s">
        <v>311</v>
      </c>
      <c r="AO47" s="160" t="s">
        <v>64</v>
      </c>
      <c r="AP47" s="161" t="s">
        <v>311</v>
      </c>
      <c r="AR47" s="160" t="s">
        <v>222</v>
      </c>
      <c r="AS47" s="160" t="s">
        <v>222</v>
      </c>
      <c r="AT47" s="160" t="s">
        <v>222</v>
      </c>
      <c r="AU47" s="160" t="s">
        <v>311</v>
      </c>
      <c r="AV47" s="160" t="s">
        <v>222</v>
      </c>
      <c r="AW47" s="161" t="s">
        <v>311</v>
      </c>
      <c r="AY47" s="160" t="s">
        <v>222</v>
      </c>
      <c r="AZ47" s="160" t="s">
        <v>222</v>
      </c>
      <c r="BA47" s="160" t="s">
        <v>311</v>
      </c>
      <c r="BB47" s="160" t="s">
        <v>222</v>
      </c>
      <c r="BC47" s="160" t="s">
        <v>311</v>
      </c>
      <c r="BD47" s="161" t="s">
        <v>311</v>
      </c>
      <c r="BF47" s="160" t="s">
        <v>64</v>
      </c>
      <c r="BG47" s="160" t="s">
        <v>64</v>
      </c>
      <c r="BH47" s="160" t="s">
        <v>64</v>
      </c>
      <c r="BI47" s="160" t="s">
        <v>311</v>
      </c>
      <c r="BJ47" s="160" t="s">
        <v>64</v>
      </c>
      <c r="BK47" s="161" t="s">
        <v>311</v>
      </c>
      <c r="BM47" s="160" t="s">
        <v>64</v>
      </c>
      <c r="BN47" s="161" t="s">
        <v>311</v>
      </c>
    </row>
    <row r="48" spans="1:66" x14ac:dyDescent="0.25">
      <c r="A48" s="16" t="s">
        <v>36</v>
      </c>
      <c r="B48" s="160" t="s">
        <v>64</v>
      </c>
      <c r="C48" s="160" t="s">
        <v>64</v>
      </c>
      <c r="D48" s="160" t="s">
        <v>64</v>
      </c>
      <c r="E48" s="160" t="s">
        <v>64</v>
      </c>
      <c r="F48" s="160" t="s">
        <v>64</v>
      </c>
      <c r="G48" s="161" t="s">
        <v>420</v>
      </c>
      <c r="I48" s="160" t="s">
        <v>64</v>
      </c>
      <c r="J48" s="160" t="s">
        <v>64</v>
      </c>
      <c r="K48" s="160" t="s">
        <v>311</v>
      </c>
      <c r="L48" s="160" t="s">
        <v>64</v>
      </c>
      <c r="M48" s="160" t="s">
        <v>311</v>
      </c>
      <c r="N48" s="161" t="s">
        <v>311</v>
      </c>
      <c r="P48" s="160" t="s">
        <v>64</v>
      </c>
      <c r="Q48" s="160" t="s">
        <v>311</v>
      </c>
      <c r="R48" s="160" t="s">
        <v>64</v>
      </c>
      <c r="S48" s="160" t="s">
        <v>311</v>
      </c>
      <c r="T48" s="160" t="s">
        <v>64</v>
      </c>
      <c r="U48" s="161" t="s">
        <v>311</v>
      </c>
      <c r="W48" s="160" t="s">
        <v>213</v>
      </c>
      <c r="X48" s="160" t="s">
        <v>213</v>
      </c>
      <c r="Y48" s="160" t="s">
        <v>64</v>
      </c>
      <c r="Z48" s="160" t="s">
        <v>64</v>
      </c>
      <c r="AA48" s="160" t="s">
        <v>64</v>
      </c>
      <c r="AB48" s="161" t="s">
        <v>311</v>
      </c>
      <c r="AD48" s="160" t="s">
        <v>64</v>
      </c>
      <c r="AE48" s="160" t="s">
        <v>64</v>
      </c>
      <c r="AF48" s="160" t="s">
        <v>311</v>
      </c>
      <c r="AG48" s="160" t="s">
        <v>64</v>
      </c>
      <c r="AH48" s="160" t="s">
        <v>311</v>
      </c>
      <c r="AI48" s="161" t="s">
        <v>311</v>
      </c>
      <c r="AK48" s="160" t="s">
        <v>64</v>
      </c>
      <c r="AL48" s="160" t="s">
        <v>64</v>
      </c>
      <c r="AM48" s="160" t="s">
        <v>213</v>
      </c>
      <c r="AN48" s="160" t="s">
        <v>311</v>
      </c>
      <c r="AO48" s="160" t="s">
        <v>213</v>
      </c>
      <c r="AP48" s="161" t="s">
        <v>311</v>
      </c>
      <c r="AR48" s="160" t="s">
        <v>222</v>
      </c>
      <c r="AS48" s="160" t="s">
        <v>222</v>
      </c>
      <c r="AT48" s="160" t="s">
        <v>222</v>
      </c>
      <c r="AU48" s="160" t="s">
        <v>311</v>
      </c>
      <c r="AV48" s="160" t="s">
        <v>222</v>
      </c>
      <c r="AW48" s="161" t="s">
        <v>311</v>
      </c>
      <c r="AY48" s="160" t="s">
        <v>222</v>
      </c>
      <c r="AZ48" s="160" t="s">
        <v>222</v>
      </c>
      <c r="BA48" s="160" t="s">
        <v>311</v>
      </c>
      <c r="BB48" s="160" t="s">
        <v>222</v>
      </c>
      <c r="BC48" s="160" t="s">
        <v>311</v>
      </c>
      <c r="BD48" s="161" t="s">
        <v>311</v>
      </c>
      <c r="BF48" s="160" t="s">
        <v>64</v>
      </c>
      <c r="BG48" s="160" t="s">
        <v>64</v>
      </c>
      <c r="BH48" s="160" t="s">
        <v>64</v>
      </c>
      <c r="BI48" s="160" t="s">
        <v>311</v>
      </c>
      <c r="BJ48" s="160" t="s">
        <v>64</v>
      </c>
      <c r="BK48" s="161" t="s">
        <v>311</v>
      </c>
      <c r="BM48" s="160" t="s">
        <v>64</v>
      </c>
      <c r="BN48" s="161" t="s">
        <v>311</v>
      </c>
    </row>
    <row r="49" spans="1:66" x14ac:dyDescent="0.25">
      <c r="A49" s="16" t="s">
        <v>38</v>
      </c>
      <c r="B49" s="160" t="s">
        <v>64</v>
      </c>
      <c r="C49" s="160" t="s">
        <v>64</v>
      </c>
      <c r="D49" s="160" t="s">
        <v>64</v>
      </c>
      <c r="E49" s="160" t="s">
        <v>64</v>
      </c>
      <c r="F49" s="160" t="s">
        <v>64</v>
      </c>
      <c r="G49" s="161" t="s">
        <v>420</v>
      </c>
      <c r="I49" s="160" t="s">
        <v>64</v>
      </c>
      <c r="J49" s="160" t="s">
        <v>64</v>
      </c>
      <c r="K49" s="160" t="s">
        <v>311</v>
      </c>
      <c r="L49" s="160" t="s">
        <v>64</v>
      </c>
      <c r="M49" s="160" t="s">
        <v>311</v>
      </c>
      <c r="N49" s="161" t="s">
        <v>311</v>
      </c>
      <c r="P49" s="160" t="s">
        <v>64</v>
      </c>
      <c r="Q49" s="160" t="s">
        <v>311</v>
      </c>
      <c r="R49" s="160" t="s">
        <v>64</v>
      </c>
      <c r="S49" s="160" t="s">
        <v>311</v>
      </c>
      <c r="T49" s="160" t="s">
        <v>64</v>
      </c>
      <c r="U49" s="161" t="s">
        <v>311</v>
      </c>
      <c r="W49" s="160" t="s">
        <v>64</v>
      </c>
      <c r="X49" s="160" t="s">
        <v>64</v>
      </c>
      <c r="Y49" s="160" t="s">
        <v>64</v>
      </c>
      <c r="Z49" s="160" t="s">
        <v>64</v>
      </c>
      <c r="AA49" s="160" t="s">
        <v>64</v>
      </c>
      <c r="AB49" s="161" t="s">
        <v>311</v>
      </c>
      <c r="AD49" s="160" t="s">
        <v>222</v>
      </c>
      <c r="AE49" s="160" t="s">
        <v>222</v>
      </c>
      <c r="AF49" s="160" t="s">
        <v>311</v>
      </c>
      <c r="AG49" s="160" t="s">
        <v>222</v>
      </c>
      <c r="AH49" s="160" t="s">
        <v>311</v>
      </c>
      <c r="AI49" s="161" t="s">
        <v>311</v>
      </c>
      <c r="AK49" s="160" t="s">
        <v>64</v>
      </c>
      <c r="AL49" s="160" t="s">
        <v>64</v>
      </c>
      <c r="AM49" s="160" t="s">
        <v>64</v>
      </c>
      <c r="AN49" s="160" t="s">
        <v>311</v>
      </c>
      <c r="AO49" s="160" t="s">
        <v>64</v>
      </c>
      <c r="AP49" s="161" t="s">
        <v>311</v>
      </c>
      <c r="AR49" s="160" t="s">
        <v>222</v>
      </c>
      <c r="AS49" s="160" t="s">
        <v>222</v>
      </c>
      <c r="AT49" s="160" t="s">
        <v>222</v>
      </c>
      <c r="AU49" s="160" t="s">
        <v>311</v>
      </c>
      <c r="AV49" s="160" t="s">
        <v>222</v>
      </c>
      <c r="AW49" s="161" t="s">
        <v>311</v>
      </c>
      <c r="AY49" s="160" t="s">
        <v>222</v>
      </c>
      <c r="AZ49" s="160" t="s">
        <v>222</v>
      </c>
      <c r="BA49" s="160" t="s">
        <v>311</v>
      </c>
      <c r="BB49" s="160" t="s">
        <v>222</v>
      </c>
      <c r="BC49" s="160" t="s">
        <v>311</v>
      </c>
      <c r="BD49" s="161" t="s">
        <v>311</v>
      </c>
      <c r="BF49" s="160" t="s">
        <v>222</v>
      </c>
      <c r="BG49" s="160" t="s">
        <v>222</v>
      </c>
      <c r="BH49" s="160" t="s">
        <v>222</v>
      </c>
      <c r="BI49" s="160" t="s">
        <v>311</v>
      </c>
      <c r="BJ49" s="160" t="s">
        <v>222</v>
      </c>
      <c r="BK49" s="161" t="s">
        <v>311</v>
      </c>
      <c r="BM49" s="160" t="s">
        <v>222</v>
      </c>
      <c r="BN49" s="161" t="s">
        <v>311</v>
      </c>
    </row>
    <row r="50" spans="1:66" x14ac:dyDescent="0.25">
      <c r="A50" s="16" t="s">
        <v>39</v>
      </c>
      <c r="B50" s="160" t="s">
        <v>64</v>
      </c>
      <c r="C50" s="160" t="s">
        <v>64</v>
      </c>
      <c r="D50" s="160" t="s">
        <v>213</v>
      </c>
      <c r="E50" s="160" t="s">
        <v>64</v>
      </c>
      <c r="F50" s="160" t="s">
        <v>64</v>
      </c>
      <c r="G50" s="161" t="s">
        <v>420</v>
      </c>
      <c r="I50" s="160" t="s">
        <v>64</v>
      </c>
      <c r="J50" s="160" t="s">
        <v>64</v>
      </c>
      <c r="K50" s="160" t="s">
        <v>311</v>
      </c>
      <c r="L50" s="160" t="s">
        <v>64</v>
      </c>
      <c r="M50" s="160" t="s">
        <v>311</v>
      </c>
      <c r="N50" s="161" t="s">
        <v>311</v>
      </c>
      <c r="P50" s="160" t="s">
        <v>64</v>
      </c>
      <c r="Q50" s="160" t="s">
        <v>311</v>
      </c>
      <c r="R50" s="160" t="s">
        <v>64</v>
      </c>
      <c r="S50" s="160" t="s">
        <v>311</v>
      </c>
      <c r="T50" s="160" t="s">
        <v>64</v>
      </c>
      <c r="U50" s="161" t="s">
        <v>311</v>
      </c>
      <c r="W50" s="160" t="s">
        <v>213</v>
      </c>
      <c r="X50" s="160" t="s">
        <v>64</v>
      </c>
      <c r="Y50" s="160" t="s">
        <v>64</v>
      </c>
      <c r="Z50" s="160" t="s">
        <v>213</v>
      </c>
      <c r="AA50" s="160" t="s">
        <v>64</v>
      </c>
      <c r="AB50" s="161" t="s">
        <v>311</v>
      </c>
      <c r="AD50" s="160" t="s">
        <v>64</v>
      </c>
      <c r="AE50" s="160" t="s">
        <v>64</v>
      </c>
      <c r="AF50" s="160" t="s">
        <v>311</v>
      </c>
      <c r="AG50" s="160" t="s">
        <v>64</v>
      </c>
      <c r="AH50" s="160" t="s">
        <v>311</v>
      </c>
      <c r="AI50" s="161" t="s">
        <v>311</v>
      </c>
      <c r="AK50" s="160" t="s">
        <v>64</v>
      </c>
      <c r="AL50" s="160" t="s">
        <v>64</v>
      </c>
      <c r="AM50" s="160" t="s">
        <v>64</v>
      </c>
      <c r="AN50" s="160" t="s">
        <v>311</v>
      </c>
      <c r="AO50" s="160" t="s">
        <v>64</v>
      </c>
      <c r="AP50" s="161" t="s">
        <v>311</v>
      </c>
      <c r="AR50" s="160" t="s">
        <v>222</v>
      </c>
      <c r="AS50" s="160" t="s">
        <v>222</v>
      </c>
      <c r="AT50" s="160" t="s">
        <v>222</v>
      </c>
      <c r="AU50" s="160" t="s">
        <v>311</v>
      </c>
      <c r="AV50" s="160" t="s">
        <v>222</v>
      </c>
      <c r="AW50" s="161" t="s">
        <v>311</v>
      </c>
      <c r="AY50" s="160" t="s">
        <v>222</v>
      </c>
      <c r="AZ50" s="160" t="s">
        <v>222</v>
      </c>
      <c r="BA50" s="160" t="s">
        <v>311</v>
      </c>
      <c r="BB50" s="160" t="s">
        <v>222</v>
      </c>
      <c r="BC50" s="160" t="s">
        <v>311</v>
      </c>
      <c r="BD50" s="161" t="s">
        <v>311</v>
      </c>
      <c r="BF50" s="160" t="s">
        <v>222</v>
      </c>
      <c r="BG50" s="160" t="s">
        <v>222</v>
      </c>
      <c r="BH50" s="160" t="s">
        <v>222</v>
      </c>
      <c r="BI50" s="160" t="s">
        <v>311</v>
      </c>
      <c r="BJ50" s="160" t="s">
        <v>222</v>
      </c>
      <c r="BK50" s="161" t="s">
        <v>311</v>
      </c>
      <c r="BM50" s="160" t="s">
        <v>213</v>
      </c>
      <c r="BN50" s="161" t="s">
        <v>311</v>
      </c>
    </row>
    <row r="51" spans="1:66" x14ac:dyDescent="0.25">
      <c r="A51" s="16" t="s">
        <v>40</v>
      </c>
      <c r="B51" s="160" t="s">
        <v>64</v>
      </c>
      <c r="C51" s="160" t="s">
        <v>64</v>
      </c>
      <c r="D51" s="160" t="s">
        <v>64</v>
      </c>
      <c r="E51" s="160" t="s">
        <v>64</v>
      </c>
      <c r="F51" s="160" t="s">
        <v>64</v>
      </c>
      <c r="G51" s="161" t="s">
        <v>420</v>
      </c>
      <c r="I51" s="160" t="s">
        <v>64</v>
      </c>
      <c r="J51" s="160" t="s">
        <v>64</v>
      </c>
      <c r="K51" s="160" t="s">
        <v>311</v>
      </c>
      <c r="L51" s="160" t="s">
        <v>64</v>
      </c>
      <c r="M51" s="160" t="s">
        <v>311</v>
      </c>
      <c r="N51" s="161" t="s">
        <v>311</v>
      </c>
      <c r="P51" s="160" t="s">
        <v>64</v>
      </c>
      <c r="Q51" s="160" t="s">
        <v>311</v>
      </c>
      <c r="R51" s="160" t="s">
        <v>64</v>
      </c>
      <c r="S51" s="160" t="s">
        <v>311</v>
      </c>
      <c r="T51" s="160" t="s">
        <v>64</v>
      </c>
      <c r="U51" s="161" t="s">
        <v>311</v>
      </c>
      <c r="W51" s="160" t="s">
        <v>64</v>
      </c>
      <c r="X51" s="160" t="s">
        <v>64</v>
      </c>
      <c r="Y51" s="160" t="s">
        <v>64</v>
      </c>
      <c r="Z51" s="160" t="s">
        <v>64</v>
      </c>
      <c r="AA51" s="160" t="s">
        <v>64</v>
      </c>
      <c r="AB51" s="161" t="s">
        <v>311</v>
      </c>
      <c r="AD51" s="160" t="s">
        <v>64</v>
      </c>
      <c r="AE51" s="160" t="s">
        <v>64</v>
      </c>
      <c r="AF51" s="160" t="s">
        <v>311</v>
      </c>
      <c r="AG51" s="160" t="s">
        <v>64</v>
      </c>
      <c r="AH51" s="160" t="s">
        <v>311</v>
      </c>
      <c r="AI51" s="161" t="s">
        <v>311</v>
      </c>
      <c r="AK51" s="160" t="s">
        <v>64</v>
      </c>
      <c r="AL51" s="160" t="s">
        <v>64</v>
      </c>
      <c r="AM51" s="160" t="s">
        <v>64</v>
      </c>
      <c r="AN51" s="160" t="s">
        <v>311</v>
      </c>
      <c r="AO51" s="160" t="s">
        <v>64</v>
      </c>
      <c r="AP51" s="161" t="s">
        <v>311</v>
      </c>
      <c r="AR51" s="160" t="s">
        <v>64</v>
      </c>
      <c r="AS51" s="160" t="s">
        <v>213</v>
      </c>
      <c r="AT51" s="160" t="s">
        <v>64</v>
      </c>
      <c r="AU51" s="160" t="s">
        <v>311</v>
      </c>
      <c r="AV51" s="160" t="s">
        <v>64</v>
      </c>
      <c r="AW51" s="161" t="s">
        <v>311</v>
      </c>
      <c r="AY51" s="160" t="s">
        <v>64</v>
      </c>
      <c r="AZ51" s="160" t="s">
        <v>64</v>
      </c>
      <c r="BA51" s="160" t="s">
        <v>311</v>
      </c>
      <c r="BB51" s="160" t="s">
        <v>222</v>
      </c>
      <c r="BC51" s="160" t="s">
        <v>311</v>
      </c>
      <c r="BD51" s="161" t="s">
        <v>311</v>
      </c>
      <c r="BF51" s="160" t="s">
        <v>64</v>
      </c>
      <c r="BG51" s="160" t="s">
        <v>64</v>
      </c>
      <c r="BH51" s="160" t="s">
        <v>64</v>
      </c>
      <c r="BI51" s="160" t="s">
        <v>311</v>
      </c>
      <c r="BJ51" s="160" t="s">
        <v>64</v>
      </c>
      <c r="BK51" s="161" t="s">
        <v>311</v>
      </c>
      <c r="BM51" s="160" t="s">
        <v>64</v>
      </c>
      <c r="BN51" s="161" t="s">
        <v>311</v>
      </c>
    </row>
    <row r="52" spans="1:66" x14ac:dyDescent="0.25">
      <c r="A52" s="16"/>
      <c r="B52" s="16"/>
      <c r="C52" s="16"/>
      <c r="D52" s="16"/>
      <c r="E52" s="16"/>
      <c r="F52" s="16"/>
      <c r="G52" s="16"/>
      <c r="I52" s="16"/>
      <c r="J52" s="16"/>
      <c r="K52" s="16"/>
      <c r="L52" s="16"/>
      <c r="M52" s="16"/>
      <c r="N52" s="16"/>
      <c r="P52" s="16"/>
      <c r="Q52" s="16"/>
      <c r="R52" s="16"/>
      <c r="S52" s="16"/>
      <c r="T52" s="16"/>
      <c r="U52" s="16"/>
      <c r="W52" s="16"/>
      <c r="X52" s="16"/>
      <c r="Y52" s="16"/>
      <c r="Z52" s="16"/>
      <c r="AA52" s="16"/>
      <c r="AB52" s="16"/>
      <c r="AD52" s="16"/>
      <c r="AE52" s="16"/>
      <c r="AF52" s="16"/>
      <c r="AG52" s="16"/>
      <c r="AH52" s="16"/>
      <c r="AI52" s="16"/>
      <c r="AK52" s="16"/>
      <c r="AL52" s="16"/>
      <c r="AM52" s="16"/>
      <c r="AN52" s="16"/>
      <c r="AO52" s="16"/>
      <c r="AP52" s="16"/>
      <c r="AR52" s="16"/>
      <c r="AS52" s="16"/>
      <c r="AT52" s="16"/>
      <c r="AU52" s="16"/>
      <c r="AV52" s="16"/>
      <c r="AW52" s="16"/>
      <c r="AY52" s="16"/>
      <c r="AZ52" s="16"/>
      <c r="BA52" s="16"/>
      <c r="BB52" s="16"/>
      <c r="BC52" s="16"/>
      <c r="BD52" s="16"/>
      <c r="BF52" s="16"/>
      <c r="BG52" s="16"/>
      <c r="BH52" s="16"/>
      <c r="BI52" s="16"/>
      <c r="BJ52" s="16"/>
      <c r="BK52" s="16"/>
      <c r="BM52" s="16"/>
      <c r="BN52" s="16"/>
    </row>
  </sheetData>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98"/>
  <sheetViews>
    <sheetView zoomScaleNormal="100" workbookViewId="0">
      <pane ySplit="3" topLeftCell="A4" activePane="bottomLeft" state="frozen"/>
      <selection pane="bottomLeft" activeCell="A2" sqref="A2:K2"/>
    </sheetView>
  </sheetViews>
  <sheetFormatPr defaultRowHeight="15" x14ac:dyDescent="0.25"/>
  <cols>
    <col min="1" max="1" width="40.42578125" customWidth="1"/>
    <col min="2" max="11" width="12.28515625" customWidth="1"/>
  </cols>
  <sheetData>
    <row r="1" spans="1:11" ht="18.75" hidden="1" customHeight="1" x14ac:dyDescent="0.3">
      <c r="A1" s="156" t="str">
        <f>'Home Page'!B4</f>
        <v>Vice President for Student Life</v>
      </c>
    </row>
    <row r="2" spans="1:11" ht="23.25" x14ac:dyDescent="0.35">
      <c r="A2" s="409" t="str">
        <f>A1&amp;" Scorecard"&amp;" - FY 2016 through FY 2020"</f>
        <v>Vice President for Student Life Scorecard - FY 2016 through FY 2020</v>
      </c>
      <c r="B2" s="409"/>
      <c r="C2" s="409"/>
      <c r="D2" s="409"/>
      <c r="E2" s="409"/>
      <c r="F2" s="409"/>
      <c r="G2" s="409"/>
      <c r="H2" s="409"/>
      <c r="I2" s="409"/>
      <c r="J2" s="409"/>
      <c r="K2" s="409"/>
    </row>
    <row r="3" spans="1:11" ht="4.5" customHeight="1" thickBot="1" x14ac:dyDescent="0.35">
      <c r="A3" s="55"/>
      <c r="B3" s="55"/>
      <c r="C3" s="55"/>
      <c r="D3" s="55"/>
      <c r="E3" s="55"/>
      <c r="F3" s="55"/>
      <c r="G3" s="55"/>
      <c r="H3" s="55"/>
      <c r="I3" s="55"/>
      <c r="J3" s="55"/>
      <c r="K3" s="55"/>
    </row>
    <row r="4" spans="1:11" s="107" customFormat="1" ht="18.75" x14ac:dyDescent="0.3">
      <c r="A4" s="389" t="s">
        <v>207</v>
      </c>
      <c r="B4" s="390"/>
      <c r="C4" s="390"/>
      <c r="D4" s="390"/>
      <c r="E4" s="390"/>
      <c r="F4" s="390"/>
      <c r="G4" s="390"/>
      <c r="H4" s="390"/>
      <c r="I4" s="390"/>
      <c r="J4" s="390"/>
      <c r="K4" s="391"/>
    </row>
    <row r="5" spans="1:11" s="107" customFormat="1" ht="15.75" x14ac:dyDescent="0.25">
      <c r="A5" s="108"/>
      <c r="B5" s="397" t="s">
        <v>52</v>
      </c>
      <c r="C5" s="397"/>
      <c r="D5" s="397" t="s">
        <v>53</v>
      </c>
      <c r="E5" s="397"/>
      <c r="F5" s="397" t="s">
        <v>198</v>
      </c>
      <c r="G5" s="397"/>
      <c r="H5" s="397" t="s">
        <v>199</v>
      </c>
      <c r="I5" s="397"/>
      <c r="J5" s="397" t="s">
        <v>415</v>
      </c>
      <c r="K5" s="398"/>
    </row>
    <row r="6" spans="1:11" s="107" customFormat="1" ht="15.75" x14ac:dyDescent="0.25">
      <c r="A6" s="124" t="s">
        <v>210</v>
      </c>
      <c r="B6" s="134"/>
      <c r="C6" s="114"/>
      <c r="D6" s="134"/>
      <c r="E6" s="114"/>
      <c r="F6" s="134"/>
      <c r="G6" s="114"/>
      <c r="H6" s="132"/>
      <c r="I6" s="114"/>
      <c r="J6" s="132"/>
      <c r="K6" s="115"/>
    </row>
    <row r="7" spans="1:11" s="107" customFormat="1" ht="15.75" x14ac:dyDescent="0.25">
      <c r="A7" s="116" t="s">
        <v>97</v>
      </c>
      <c r="B7" s="405">
        <f>(IF(ISNA(VLOOKUP($A$1,'Retro Pay'!$A$5:$AS$51,14,FALSE))=TRUE,"DEPT not Found",VLOOKUP($A$1,'Retro Pay'!$A$5:$AS$51,14,FALSE)))/1000</f>
        <v>68121.723159999994</v>
      </c>
      <c r="C7" s="406"/>
      <c r="D7" s="405">
        <f>(IF(ISNA(VLOOKUP($A$1,'Retro Pay'!$A$5:$AS$51,20,FALSE))=TRUE,"DEPT not Found",VLOOKUP($A$1,'Retro Pay'!$A$5:$AS$51,20,FALSE)))/1000</f>
        <v>71782.569750000039</v>
      </c>
      <c r="E7" s="406"/>
      <c r="F7" s="405">
        <f>(IF(ISNA(VLOOKUP($A$1,'Retro Pay'!$A$5:$AS$51,26,FALSE))=TRUE,"DEPT not Found",VLOOKUP($A$1,'Retro Pay'!$A$5:$AS$51,26,FALSE)))/1000</f>
        <v>76130.350800000015</v>
      </c>
      <c r="G7" s="406"/>
      <c r="H7" s="405">
        <f>(IF(ISNA(VLOOKUP($A$1,'Retro Pay'!$A$5:$AS$51,32,FALSE))=TRUE,"DEPT not Found",VLOOKUP($A$1,'Retro Pay'!$A$5:$AS$51,32,FALSE)))/1000</f>
        <v>79474.313180000012</v>
      </c>
      <c r="I7" s="406"/>
      <c r="J7" s="395">
        <f>(IF(ISNA(VLOOKUP($A$1,'Retro Pay'!$A$5:$AS$51,38,FALSE))=TRUE,"DEPT not Found",VLOOKUP($A$1,'Retro Pay'!$A$5:$AS$51,38,FALSE)))/1000</f>
        <v>81494.837350000031</v>
      </c>
      <c r="K7" s="396"/>
    </row>
    <row r="8" spans="1:11" s="107" customFormat="1" ht="15.75" x14ac:dyDescent="0.25">
      <c r="A8" s="116" t="s">
        <v>160</v>
      </c>
      <c r="B8" s="294">
        <f>(IF(ISNA(VLOOKUP($A$1,'Retro Pay'!$A$5:$AS$51,15,FALSE))=TRUE,"DEPT not Found",VLOOKUP($A$1,'Retro Pay'!$A$5:$AS$51,15,FALSE)))/1000</f>
        <v>1081.2899</v>
      </c>
      <c r="C8" s="135">
        <f>IF(ISNA(VLOOKUP($A$1,'Retro Pay'!$A$5:$AS$51,16,FALSE))=TRUE,"DEPT not Found",VLOOKUP($A$1,'Retro Pay'!$A$5:$AS$51,16,FALSE))</f>
        <v>1.5872908814422302E-2</v>
      </c>
      <c r="D8" s="296">
        <f>(IF(ISNA(VLOOKUP($A$1,'Retro Pay'!$A$5:$AS$51,21,FALSE))=TRUE,"DEPT not Found",VLOOKUP($A$1,'Retro Pay'!$A$5:$AS$51,21,FALSE)))/1000</f>
        <v>669.56615000000011</v>
      </c>
      <c r="E8" s="135">
        <f>IF(ISNA(VLOOKUP($A$1,'Retro Pay'!$A$5:$AS$51,22,FALSE))=TRUE,"DEPT not Found",VLOOKUP($A$1,'Retro Pay'!$A$5:$AS$51,22,FALSE))</f>
        <v>9.3276982466903077E-3</v>
      </c>
      <c r="F8" s="296">
        <f>(IF(ISNA(VLOOKUP($A$1,'Retro Pay'!$A$5:$AS$51,27,FALSE))=TRUE,"DEPT not Found",VLOOKUP($A$1,'Retro Pay'!$A$5:$AS$51,27,FALSE)))/1000</f>
        <v>794.53362000000004</v>
      </c>
      <c r="G8" s="135">
        <f>IF(ISNA(VLOOKUP($A$1,'Retro Pay'!$A$5:$AS$51,28,FALSE))=TRUE,"DEPT not Found",VLOOKUP($A$1,'Retro Pay'!$A$5:$AS$51,28,FALSE))</f>
        <v>1.0436489673971131E-2</v>
      </c>
      <c r="H8" s="296">
        <f>(IF(ISNA(VLOOKUP($A$1,'Retro Pay'!$A$5:$AS$51,33,FALSE))=TRUE,"DEPT not Found",VLOOKUP($A$1,'Retro Pay'!$A$5:$AS$51,33,FALSE)))/1000</f>
        <v>675.09770000000003</v>
      </c>
      <c r="I8" s="135">
        <f>IF(ISNA(VLOOKUP($A$1,'Retro Pay'!$A$5:$AS$51,34,FALSE))=TRUE,"DEPT not Found",VLOOKUP($A$1,'Retro Pay'!$A$5:$AS$51,34,FALSE))</f>
        <v>8.4945395938305617E-3</v>
      </c>
      <c r="J8" s="296">
        <f>(IF(ISNA(VLOOKUP($A$1,'Retro Pay'!$A$5:$AS$51,39,FALSE))=TRUE,"DEPT not Found",VLOOKUP($A$1,'Retro Pay'!$A$5:$AS$51,39,FALSE)))/1000</f>
        <v>737.61124000000052</v>
      </c>
      <c r="K8" s="136">
        <f>IF(ISNA(VLOOKUP($A$1,'Retro Pay'!$A$5:$AS$51,40,FALSE))=TRUE,"DEPT not Found",VLOOKUP($A$1,'Retro Pay'!$A$5:$AS$51,40,FALSE))</f>
        <v>9.051018002921388E-3</v>
      </c>
    </row>
    <row r="9" spans="1:11" s="107" customFormat="1" ht="15.75" x14ac:dyDescent="0.25">
      <c r="A9" s="116" t="s">
        <v>162</v>
      </c>
      <c r="B9" s="294">
        <f>(IF(ISNA(VLOOKUP($A$1,'Retro Pay'!$A$5:$AP$51,17,FALSE))=TRUE,"DEPT not Found",VLOOKUP($A$1,'Retro Pay'!$A$5:$AP$51,17,FALSE))/1000)</f>
        <v>217.19247999999996</v>
      </c>
      <c r="C9" s="117">
        <f>IF(ISNA(VLOOKUP($A$1,'Retro Pay'!$A$5:$AP$51,18,FALSE))=TRUE,"DEPT not Found",VLOOKUP($A$1,'Retro Pay'!$A$5:$AP$51,18,FALSE))</f>
        <v>3.1882998539228373E-3</v>
      </c>
      <c r="D9" s="296">
        <f>(IF(ISNA(VLOOKUP($A$1,'Retro Pay'!$A$5:$AP$51,23,FALSE))=TRUE,"DEPT not Found",VLOOKUP($A$1,'Retro Pay'!$A$5:$AP$51,23,FALSE))/1000)</f>
        <v>82.073789999999988</v>
      </c>
      <c r="E9" s="117">
        <f>IF(ISNA(VLOOKUP($A$1,'Retro Pay'!$A$5:$AP$51,24,FALSE))=TRUE,"DEPT not Found",VLOOKUP($A$1,'Retro Pay'!$A$5:$AP$51,24,FALSE))</f>
        <v>1.2597842176963424E-3</v>
      </c>
      <c r="F9" s="296">
        <f>(IF(ISNA(VLOOKUP($A$1,'Retro Pay'!$A$5:$AP$51,29,FALSE))=TRUE,"DEPT not Found",VLOOKUP($A$1,'Retro Pay'!$A$5:$AP$51,29,FALSE))/1000)</f>
        <v>207.64295999999999</v>
      </c>
      <c r="G9" s="117">
        <f>IF(ISNA(VLOOKUP($A$1,'Retro Pay'!$A$5:$AP$51,30,FALSE))=TRUE,"DEPT not Found",VLOOKUP($A$1,'Retro Pay'!$A$5:$AP$51,30,FALSE))</f>
        <v>2.7274662183744982E-3</v>
      </c>
      <c r="H9" s="296">
        <f>(IF(ISNA(VLOOKUP($A$1,'Retro Pay'!$A$5:$AP$51,35,FALSE))=TRUE,"DEPT not Found",VLOOKUP($A$1,'Retro Pay'!$A$5:$AP$51,35,FALSE))/1000)</f>
        <v>167.25851999999998</v>
      </c>
      <c r="I9" s="117">
        <f>IF(ISNA(VLOOKUP($A$1,'Retro Pay'!$A$5:$AP$51,36,FALSE))=TRUE,"DEPT not Found",VLOOKUP($A$1,'Retro Pay'!$A$5:$AP$51,36,FALSE))</f>
        <v>2.1045607480894997E-3</v>
      </c>
      <c r="J9" s="296">
        <f>(IF(ISNA(VLOOKUP($A$1,'Retro Pay'!$A$5:$AP$51,41,FALSE))=TRUE,"DEPT not Found",VLOOKUP($A$1,'Retro Pay'!$A$5:$AP$51,41,FALSE))/1000)</f>
        <v>96.481699999999961</v>
      </c>
      <c r="K9" s="118">
        <f>IF(ISNA(VLOOKUP($A$1,'Retro Pay'!$A$5:$AP$51,42,FALSE))=TRUE,"DEPT not Found",VLOOKUP($A$1,'Retro Pay'!$A$5:$AP$51,42,FALSE))</f>
        <v>1.1838995344654179E-3</v>
      </c>
    </row>
    <row r="10" spans="1:11" s="107" customFormat="1" ht="7.15" customHeight="1" x14ac:dyDescent="0.25">
      <c r="A10" s="137"/>
      <c r="B10" s="134"/>
      <c r="C10" s="114"/>
      <c r="D10" s="134"/>
      <c r="E10" s="114"/>
      <c r="F10" s="134"/>
      <c r="G10" s="114"/>
      <c r="H10" s="132"/>
      <c r="I10" s="114"/>
      <c r="J10" s="132"/>
      <c r="K10" s="115"/>
    </row>
    <row r="11" spans="1:11" s="107" customFormat="1" ht="15.75" x14ac:dyDescent="0.25">
      <c r="A11" s="124" t="s">
        <v>134</v>
      </c>
      <c r="B11" s="134"/>
      <c r="C11" s="114"/>
      <c r="D11" s="134"/>
      <c r="E11" s="114"/>
      <c r="F11" s="134"/>
      <c r="G11" s="114"/>
      <c r="H11" s="132"/>
      <c r="I11" s="114"/>
      <c r="J11" s="132"/>
      <c r="K11" s="115"/>
    </row>
    <row r="12" spans="1:11" s="107" customFormat="1" ht="18.75" customHeight="1" x14ac:dyDescent="0.25">
      <c r="A12" s="116" t="s">
        <v>97</v>
      </c>
      <c r="B12" s="405">
        <f>(IF(ISNA(VLOOKUP($A$1,'SP Retro Pay'!$A$5:$AJ$51,8,FALSE))=TRUE,"DEPT not Found",VLOOKUP($A$1,'SP Retro Pay'!$A$5:$AJ$51,8,FALSE))/1000)</f>
        <v>54.935000000000002</v>
      </c>
      <c r="C12" s="406"/>
      <c r="D12" s="405">
        <f>(IF(ISNA(VLOOKUP($A$1,'SP Retro Pay'!$A$5:$AJ$51,14,FALSE))=TRUE,"DEPT not Found",VLOOKUP($A$1,'SP Retro Pay'!$A$5:$AJ$51,14,FALSE))/1000)</f>
        <v>27.970400000000001</v>
      </c>
      <c r="E12" s="406"/>
      <c r="F12" s="405">
        <f>(IF(ISNA(VLOOKUP($A$1,'SP Retro Pay'!$A$5:$AJ$51,20,FALSE))=TRUE,"DEPT not Found",VLOOKUP($A$1,'SP Retro Pay'!$A$5:$AJ$51,20,FALSE))/1000)</f>
        <v>34.646640000000005</v>
      </c>
      <c r="G12" s="406"/>
      <c r="H12" s="395">
        <f>(IF(ISNA(VLOOKUP($A$1,'SP Retro Pay'!$A$5:$AJ$51,26,FALSE))=TRUE,"DEPT not Found",VLOOKUP($A$1,'SP Retro Pay'!$A$5:$AJ$51,26,FALSE))/1000)</f>
        <v>44.032240000000016</v>
      </c>
      <c r="I12" s="406"/>
      <c r="J12" s="395">
        <f>(IF(ISNA(VLOOKUP($A$1,'SP Retro Pay'!$A$5:$AJ$51,32,FALSE))=TRUE,"DEPT not Found",VLOOKUP($A$1,'SP Retro Pay'!$A$5:$AJ$51,32,FALSE))/1000)</f>
        <v>143.0073100000001</v>
      </c>
      <c r="K12" s="396"/>
    </row>
    <row r="13" spans="1:11" s="107" customFormat="1" ht="15.75" x14ac:dyDescent="0.25">
      <c r="A13" s="116" t="s">
        <v>160</v>
      </c>
      <c r="B13" s="294">
        <f>(IF(ISNA(VLOOKUP($A$1,'SP Retro Pay'!$A$5:$AJ$51,9,FALSE))=TRUE,"DEPT not Found",VLOOKUP($A$1,'SP Retro Pay'!$A$5:$AJ$51,9,FALSE))/1000)</f>
        <v>1.46</v>
      </c>
      <c r="C13" s="135">
        <f>IF(ISNA(VLOOKUP($A$1,'SP Retro Pay'!$A$5:$AJ$51,10,FALSE))=TRUE,"DEPT not Found",VLOOKUP($A$1,'SP Retro Pay'!$A$5:$AJ$51,10,FALSE))</f>
        <v>2.6576863566032585E-2</v>
      </c>
      <c r="D13" s="294">
        <f>(IF(ISNA(VLOOKUP($A$1,'SP Retro Pay'!$A$5:$AJ$51,15,FALSE))=TRUE,"DEPT not Found",VLOOKUP($A$1,'SP Retro Pay'!$A$5:$AJ$51,15,FALSE))/1000)</f>
        <v>1.1269</v>
      </c>
      <c r="E13" s="135">
        <f>IF(ISNA(VLOOKUP($A$1,'SP Retro Pay'!$A$5:$AJ$51,16,FALSE))=TRUE,"DEPT not Found",VLOOKUP($A$1,'SP Retro Pay'!$A$5:$AJ$51,16,FALSE))</f>
        <v>4.0289019820953578E-2</v>
      </c>
      <c r="F13" s="294">
        <f>(IF(ISNA(VLOOKUP($A$1,'SP Retro Pay'!$A$5:$AJ$51,21,FALSE))=TRUE,"DEPT not Found",VLOOKUP($A$1,'SP Retro Pay'!$A$5:$AJ$51,21,FALSE))/1000)</f>
        <v>6.0459300000000002</v>
      </c>
      <c r="G13" s="135">
        <f>IF(ISNA(VLOOKUP($A$1,'SP Retro Pay'!$A$5:$AJ$51,22,FALSE))=TRUE,"DEPT not Found",VLOOKUP($A$1,'SP Retro Pay'!$A$5:$AJ$51,22,FALSE))</f>
        <v>0.17450263575342367</v>
      </c>
      <c r="H13" s="294">
        <f>(IF(ISNA(VLOOKUP($A$1,'SP Retro Pay'!$A$5:$AJ$51,27,FALSE))=TRUE,"DEPT not Found",VLOOKUP($A$1,'SP Retro Pay'!$A$5:$AJ$51,27,FALSE))/1000)</f>
        <v>2.8926100000000003</v>
      </c>
      <c r="I13" s="135">
        <f>IF(ISNA(VLOOKUP($A$1,'SP Retro Pay'!$A$5:$AJ$51,28,FALSE))=TRUE,"DEPT not Found",VLOOKUP($A$1,'SP Retro Pay'!$A$5:$AJ$51,28,FALSE))</f>
        <v>8.348890397452681E-2</v>
      </c>
      <c r="J13" s="296">
        <f>(IF(ISNA(VLOOKUP($A$1,'SP Retro Pay'!$A$5:$AJ$51,33,FALSE))=TRUE,"DEPT not Found",VLOOKUP($A$1,'SP Retro Pay'!$A$5:$AJ$51,33,FALSE))/1000)</f>
        <v>18.705289999999998</v>
      </c>
      <c r="K13" s="136">
        <f>IF(ISNA(VLOOKUP($A$1,'SP Retro Pay'!$A$5:$AJ$51,34,FALSE))=TRUE,"DEPT not Found",VLOOKUP($A$1,'SP Retro Pay'!$A$5:$AJ$51,34,FALSE))</f>
        <v>0.13079953745021833</v>
      </c>
    </row>
    <row r="14" spans="1:11" s="107" customFormat="1" ht="15.75" x14ac:dyDescent="0.25">
      <c r="A14" s="116" t="s">
        <v>161</v>
      </c>
      <c r="B14" s="294">
        <f>(IF(ISNA(VLOOKUP($A$1,'SP Retro Pay'!$A$5:$AJ$51,11,FALSE))=TRUE,"DEPT not Found",VLOOKUP($A$1,'SP Retro Pay'!$A$5:$AJ$51,11,FALSE))/1000)</f>
        <v>0</v>
      </c>
      <c r="C14" s="135">
        <f>IF(ISNA(VLOOKUP($A$1,'SP Retro Pay'!$A$5:$AJ$51,12,FALSE))=TRUE,"DEPT not Found",VLOOKUP($A$1,'SP Retro Pay'!$A$5:$AJ$51,12,FALSE))</f>
        <v>0</v>
      </c>
      <c r="D14" s="294">
        <f>(IF(ISNA(VLOOKUP($A$1,'SP Retro Pay'!$A$5:$AJ$51,17,FALSE))=TRUE,"DEPT not Found",VLOOKUP($A$1,'SP Retro Pay'!$A$5:$AJ$51,17,FALSE))/1000)</f>
        <v>0.3</v>
      </c>
      <c r="E14" s="135">
        <f>IF(ISNA(VLOOKUP($A$1,'SP Retro Pay'!$A$5:$AJ$51,18,FALSE))=TRUE,"DEPT not Found",VLOOKUP($A$1,'SP Retro Pay'!$A$5:$AJ$51,18,FALSE))</f>
        <v>1.0725624231330264E-2</v>
      </c>
      <c r="F14" s="294">
        <f>(IF(ISNA(VLOOKUP($A$1,'SP Retro Pay'!$A$5:$AJ$51,23,FALSE))=TRUE,"DEPT not Found",VLOOKUP($A$1,'SP Retro Pay'!$A$5:$AJ$51,23,FALSE))/1000)</f>
        <v>1.6084699999999996</v>
      </c>
      <c r="G14" s="135">
        <f>IF(ISNA(VLOOKUP($A$1,'SP Retro Pay'!$A$5:$AJ$51,24,FALSE))=TRUE,"DEPT not Found",VLOOKUP($A$1,'SP Retro Pay'!$A$5:$AJ$51,24,FALSE))</f>
        <v>4.6424992437939128E-2</v>
      </c>
      <c r="H14" s="294">
        <f>(IF(ISNA(VLOOKUP($A$1,'SP Retro Pay'!$A$5:$AJ$51,29,FALSE))=TRUE,"DEPT not Found",VLOOKUP($A$1,'SP Retro Pay'!$A$5:$AJ$51,29,FALSE))/1000)</f>
        <v>0</v>
      </c>
      <c r="I14" s="135">
        <f>IF(ISNA(VLOOKUP($A$1,'SP Retro Pay'!$A$5:$AJ$51,30,FALSE))=TRUE,"DEPT not Found",VLOOKUP($A$1,'SP Retro Pay'!$A$5:$AJ$51,30,FALSE))</f>
        <v>0</v>
      </c>
      <c r="J14" s="296">
        <f>(IF(ISNA(VLOOKUP($A$1,'SP Retro Pay'!$A$5:$AJ$51,35,FALSE))=TRUE,"DEPT not Found",VLOOKUP($A$1,'SP Retro Pay'!$A$5:$AJ$51,35,FALSE))/1000)</f>
        <v>0.36535000000000001</v>
      </c>
      <c r="K14" s="136">
        <f>IF(ISNA(VLOOKUP($A$1,'SP Retro Pay'!$A$5:$AJ$51,36,FALSE))=TRUE,"DEPT not Found",VLOOKUP($A$1,'SP Retro Pay'!$A$5:$AJ$51,36,FALSE))</f>
        <v>2.5547645081919219E-3</v>
      </c>
    </row>
    <row r="15" spans="1:11" s="107" customFormat="1" ht="7.15" customHeight="1" x14ac:dyDescent="0.25">
      <c r="A15" s="137"/>
      <c r="B15" s="134"/>
      <c r="C15" s="114"/>
      <c r="D15" s="134"/>
      <c r="E15" s="114"/>
      <c r="F15" s="134"/>
      <c r="G15" s="114"/>
      <c r="H15" s="132"/>
      <c r="I15" s="114"/>
      <c r="J15" s="132"/>
      <c r="K15" s="115"/>
    </row>
    <row r="16" spans="1:11" s="107" customFormat="1" ht="15.75" x14ac:dyDescent="0.25">
      <c r="A16" s="124" t="s">
        <v>101</v>
      </c>
      <c r="B16" s="294"/>
      <c r="C16" s="135"/>
      <c r="D16" s="294"/>
      <c r="E16" s="135"/>
      <c r="F16" s="294"/>
      <c r="G16" s="135"/>
      <c r="H16" s="294"/>
      <c r="I16" s="135"/>
      <c r="J16" s="296"/>
      <c r="K16" s="136"/>
    </row>
    <row r="17" spans="1:11" s="107" customFormat="1" ht="15.75" x14ac:dyDescent="0.25">
      <c r="A17" s="155" t="s">
        <v>182</v>
      </c>
      <c r="B17" s="140">
        <f>IF(ISNA(VLOOKUP($A$1,'Effort Cert'!$A$5:$S$51,5,FALSE))=TRUE,"DEPT not Found",VLOOKUP($A$1,'Effort Cert'!$A$5:$S$51,5,FALSE))</f>
        <v>46</v>
      </c>
      <c r="C17" s="135"/>
      <c r="D17" s="140">
        <f>IF(ISNA(VLOOKUP($A$1,'Effort Cert'!$A$5:$S$51,8,FALSE))=TRUE,"DEPT not Found",VLOOKUP($A$1,'Effort Cert'!$A$5:$S$51,8,FALSE))</f>
        <v>39</v>
      </c>
      <c r="E17" s="135"/>
      <c r="F17" s="140">
        <f>IF(ISNA(VLOOKUP($A$1,'Effort Cert'!$A$5:$S$51,11,FALSE))=TRUE,"DEPT not Found",VLOOKUP($A$1,'Effort Cert'!$A$5:$S$51,11,FALSE))</f>
        <v>40</v>
      </c>
      <c r="G17" s="135"/>
      <c r="H17" s="140">
        <f>IF(ISNA(VLOOKUP($A$1,'Effort Cert'!$A$5:$S$51,14,FALSE))=TRUE,"DEPT not Found",VLOOKUP($A$1,'Effort Cert'!$A$5:$S$51,14,FALSE))</f>
        <v>15</v>
      </c>
      <c r="I17" s="135"/>
      <c r="J17" s="113" t="s">
        <v>420</v>
      </c>
      <c r="K17" s="136"/>
    </row>
    <row r="18" spans="1:11" s="107" customFormat="1" ht="15.75" x14ac:dyDescent="0.25">
      <c r="A18" s="116" t="s">
        <v>183</v>
      </c>
      <c r="B18" s="140">
        <f>IF(ISNA(VLOOKUP($A$1,'Effort Cert'!$A$5:$S$51,6,FALSE))=TRUE,"DEPT not Found",VLOOKUP($A$1,'Effort Cert'!$A$5:$S$51,6,FALSE))</f>
        <v>32</v>
      </c>
      <c r="C18" s="135">
        <f>IF(ISNA(VLOOKUP($A$1,'Effort Cert'!$A$5:$S$51,7,FALSE))=TRUE,"DEPT not Found",VLOOKUP($A$1,'Effort Cert'!$A$5:$S$51,7,FALSE))</f>
        <v>0.69565217391304346</v>
      </c>
      <c r="D18" s="140">
        <f>IF(ISNA(VLOOKUP($A$1,'Effort Cert'!$A$5:$S$51,9,FALSE))=TRUE,"DEPT not Found",VLOOKUP($A$1,'Effort Cert'!$A$5:$S$51,9,FALSE))</f>
        <v>37</v>
      </c>
      <c r="E18" s="135">
        <f>IF(ISNA(VLOOKUP($A$1,'Effort Cert'!$A$5:$S$51,10,FALSE))=TRUE,"DEPT not Found",VLOOKUP($A$1,'Effort Cert'!$A$5:$S$51,10,FALSE))</f>
        <v>0.94871794871794868</v>
      </c>
      <c r="F18" s="140">
        <f>IF(ISNA(VLOOKUP($A$1,'Effort Cert'!$A$5:$S$51,12,FALSE))=TRUE,"DEPT not Found",VLOOKUP($A$1,'Effort Cert'!$A$5:$S$51,12,FALSE))</f>
        <v>37</v>
      </c>
      <c r="G18" s="135">
        <f>IF(ISNA(VLOOKUP($A$1,'Effort Cert'!$A$5:$S$51,13,FALSE))=TRUE,"DEPT not Found",VLOOKUP($A$1,'Effort Cert'!$A$5:$S$51,13,FALSE))</f>
        <v>0.92500000000000004</v>
      </c>
      <c r="H18" s="140">
        <f>IF(ISNA(VLOOKUP($A$1,'Effort Cert'!$A$5:$S$51,15,FALSE))=TRUE,"DEPT not Found",VLOOKUP($A$1,'Effort Cert'!$A$5:$S$51,15,FALSE))</f>
        <v>15</v>
      </c>
      <c r="I18" s="135">
        <f>IF(ISNA(VLOOKUP($A$1,'Effort Cert'!$A$5:$S$51,16,FALSE))=TRUE,"DEPT not Found",VLOOKUP($A$1,'Effort Cert'!$A$5:$S$51,16,FALSE))</f>
        <v>1</v>
      </c>
      <c r="J18" s="113" t="s">
        <v>420</v>
      </c>
      <c r="K18" s="136" t="s">
        <v>420</v>
      </c>
    </row>
    <row r="19" spans="1:11" s="107" customFormat="1" ht="7.15" customHeight="1" thickBot="1" x14ac:dyDescent="0.3">
      <c r="A19" s="128"/>
      <c r="B19" s="129"/>
      <c r="C19" s="129"/>
      <c r="D19" s="129"/>
      <c r="E19" s="129"/>
      <c r="F19" s="129"/>
      <c r="G19" s="129"/>
      <c r="H19" s="129"/>
      <c r="I19" s="129"/>
      <c r="J19" s="129"/>
      <c r="K19" s="130"/>
    </row>
    <row r="20" spans="1:11" s="107" customFormat="1" ht="16.5" thickBot="1" x14ac:dyDescent="0.3"/>
    <row r="21" spans="1:11" s="107" customFormat="1" ht="18.75" x14ac:dyDescent="0.3">
      <c r="A21" s="392" t="s">
        <v>204</v>
      </c>
      <c r="B21" s="393"/>
      <c r="C21" s="393"/>
      <c r="D21" s="393"/>
      <c r="E21" s="393"/>
      <c r="F21" s="393"/>
      <c r="G21" s="393"/>
      <c r="H21" s="393"/>
      <c r="I21" s="393"/>
      <c r="J21" s="393"/>
      <c r="K21" s="394"/>
    </row>
    <row r="22" spans="1:11" s="107" customFormat="1" ht="15.75" x14ac:dyDescent="0.25">
      <c r="A22" s="108"/>
      <c r="B22" s="397" t="s">
        <v>52</v>
      </c>
      <c r="C22" s="397"/>
      <c r="D22" s="397" t="s">
        <v>53</v>
      </c>
      <c r="E22" s="397"/>
      <c r="F22" s="397" t="s">
        <v>198</v>
      </c>
      <c r="G22" s="397"/>
      <c r="H22" s="397" t="s">
        <v>199</v>
      </c>
      <c r="I22" s="397"/>
      <c r="J22" s="397" t="s">
        <v>415</v>
      </c>
      <c r="K22" s="398"/>
    </row>
    <row r="23" spans="1:11" s="107" customFormat="1" ht="15" customHeight="1" x14ac:dyDescent="0.25">
      <c r="A23" s="138" t="s">
        <v>202</v>
      </c>
      <c r="B23" s="134"/>
      <c r="C23" s="114"/>
      <c r="D23" s="134"/>
      <c r="E23" s="114"/>
      <c r="F23" s="134"/>
      <c r="G23" s="114"/>
      <c r="H23" s="134"/>
      <c r="I23" s="114"/>
      <c r="J23" s="132"/>
      <c r="K23" s="115"/>
    </row>
    <row r="24" spans="1:11" s="107" customFormat="1" ht="15.75" x14ac:dyDescent="0.25">
      <c r="A24" s="116" t="s">
        <v>158</v>
      </c>
      <c r="B24" s="140">
        <f>IF(ISNA(VLOOKUP($A$1,'Cash Handling'!$A$5:$BM$51,13,FALSE))=TRUE,"DEPT not Found",VLOOKUP($A$1,'Cash Handling'!$A$5:$BM$51,13,FALSE))</f>
        <v>51</v>
      </c>
      <c r="C24" s="139"/>
      <c r="D24" s="113">
        <f>IF(ISNA(VLOOKUP($A$1,'Cash Handling'!$A$5:$BM$51,17,FALSE))=TRUE,"DEPT not Found",VLOOKUP($A$1,'Cash Handling'!$A$5:$BM$51,17,FALSE))</f>
        <v>84</v>
      </c>
      <c r="E24" s="139"/>
      <c r="F24" s="113">
        <f>IF(ISNA(VLOOKUP($A$1,'Cash Handling'!$A$5:$BM$51,24,FALSE))=TRUE,"DEPT not Found",VLOOKUP($A$1,'Cash Handling'!$A$5:$BM$51,24,FALSE))</f>
        <v>48</v>
      </c>
      <c r="G24" s="139"/>
      <c r="H24" s="140">
        <f>IF(ISNA(VLOOKUP($A$1,'Cash Handling'!$A$5:$BM$51,31,FALSE))=TRUE,"DEPT not Found",VLOOKUP($A$1,'Cash Handling'!$A$5:$BM$51,31,FALSE))</f>
        <v>43</v>
      </c>
      <c r="I24" s="139"/>
      <c r="J24" s="113">
        <f>IF(ISNA(VLOOKUP($A$1,'Cash Handling'!$A$5:$BM$51,38,FALSE))=TRUE,"DEPT not Found",VLOOKUP($A$1,'Cash Handling'!$A$5:$BM$51,38,FALSE))</f>
        <v>44</v>
      </c>
      <c r="K24" s="141"/>
    </row>
    <row r="25" spans="1:11" s="107" customFormat="1" ht="15.75" x14ac:dyDescent="0.25">
      <c r="A25" s="116" t="s">
        <v>58</v>
      </c>
      <c r="B25" s="140">
        <f>IF(ISNA(VLOOKUP($A$1,'Cash Handling'!$A$5:$BM$51,14,FALSE))=TRUE,"DEPT not Found",VLOOKUP($A$1,'Cash Handling'!$A$5:$BM$51,14,FALSE))</f>
        <v>6545</v>
      </c>
      <c r="C25" s="295">
        <f>(IF(ISNA(VLOOKUP($A$1,'Cash Handling'!$A$5:$BM$51,15,FALSE))=TRUE,"DEPT not Found",VLOOKUP($A$1,'Cash Handling'!$A$5:$BM$51,15,FALSE)))/1000</f>
        <v>9527.0562899999986</v>
      </c>
      <c r="D25" s="113">
        <f>IF(ISNA(VLOOKUP($A$1,'Cash Handling'!$A$5:$BM$51,18,FALSE))=TRUE,"DEPT not Found",VLOOKUP($A$1,'Cash Handling'!$A$5:$BM$51,18,FALSE))</f>
        <v>6039</v>
      </c>
      <c r="E25" s="295">
        <f>(IF(ISNA(VLOOKUP($A$1,'Cash Handling'!$A$5:$BM$51,19,FALSE))=TRUE,"DEPT not Found",VLOOKUP($A$1,'Cash Handling'!$A$5:$BM$51,19,FALSE)))/1000</f>
        <v>10256.590900000001</v>
      </c>
      <c r="F25" s="113">
        <f>IF(ISNA(VLOOKUP($A$1,'Cash Handling'!$A$5:$BM$51,25,FALSE))=TRUE,"DEPT not Found",VLOOKUP($A$1,'Cash Handling'!$A$5:$BM$51,25,FALSE))</f>
        <v>5789</v>
      </c>
      <c r="G25" s="295">
        <f>(IF(ISNA(VLOOKUP($A$1,'Cash Handling'!$A$5:$BM$51,26,FALSE))=TRUE,"DEPT not Found",VLOOKUP($A$1,'Cash Handling'!$A$5:$BM$51,26,FALSE)))/1000</f>
        <v>9550.445029999999</v>
      </c>
      <c r="H25" s="140">
        <f>IF(ISNA(VLOOKUP($A$1,'Cash Handling'!$A$5:$BM$51,32,FALSE))=TRUE,"DEPT not Found",VLOOKUP($A$1,'Cash Handling'!$A$5:$BM$51,32,FALSE))</f>
        <v>4992</v>
      </c>
      <c r="I25" s="295">
        <f>(IF(ISNA(VLOOKUP($A$1,'Cash Handling'!$A$5:$BM$51,33,FALSE))=TRUE,"DEPT not Found",VLOOKUP($A$1,'Cash Handling'!$A$5:$BM$51,33,FALSE)))/1000</f>
        <v>10040.762879999998</v>
      </c>
      <c r="J25" s="113">
        <f>IF(ISNA(VLOOKUP($A$1,'Cash Handling'!$A$5:$BM$51,39,FALSE))=TRUE,"DEPT not Found",VLOOKUP($A$1,'Cash Handling'!$A$5:$BM$51,39,FALSE))</f>
        <v>3621</v>
      </c>
      <c r="K25" s="299">
        <f>(IF(ISNA(VLOOKUP($A$1,'Cash Handling'!$A$5:$BM$51,40,FALSE))=TRUE,"DEPT not Found",VLOOKUP($A$1,'Cash Handling'!$A$5:$BM$51,40,FALSE)))/1000</f>
        <v>6432.9769400000005</v>
      </c>
    </row>
    <row r="26" spans="1:11" s="107" customFormat="1" ht="15.75" customHeight="1" x14ac:dyDescent="0.25">
      <c r="A26" s="116" t="s">
        <v>168</v>
      </c>
      <c r="B26" s="142"/>
      <c r="C26" s="143"/>
      <c r="D26" s="140">
        <f>IF(ISNA(VLOOKUP($A$1,'Cash Handling'!$A$5:$BM$51,20,FALSE))=TRUE,"DEPT not Found",VLOOKUP($A$1,'Cash Handling'!$A$5:$BM$51,20,FALSE))</f>
        <v>70</v>
      </c>
      <c r="E26" s="139"/>
      <c r="F26" s="140">
        <f>IF(ISNA(VLOOKUP($A$1,'Cash Handling'!$A$5:$BM$51,27,FALSE))=TRUE,"DEPT not Found",VLOOKUP($A$1,'Cash Handling'!$A$5:$BM$51,27,FALSE))</f>
        <v>116</v>
      </c>
      <c r="G26" s="139"/>
      <c r="H26" s="140">
        <f>IF(ISNA(VLOOKUP($A$1,'Cash Handling'!$A$5:$AQ$51,34,FALSE))=TRUE,"DEPT not Found",VLOOKUP($A$1,'Cash Handling'!$A$5:$AQ$51,34,FALSE))</f>
        <v>106</v>
      </c>
      <c r="I26" s="139"/>
      <c r="J26" s="113">
        <f>IF(ISNA(VLOOKUP($A$1,'Cash Handling'!$A$5:$AQ$51,41,FALSE))=TRUE,"DEPT not Found",VLOOKUP($A$1,'Cash Handling'!$A$5:$AQ$51,41,FALSE))</f>
        <v>140</v>
      </c>
      <c r="K26" s="141"/>
    </row>
    <row r="27" spans="1:11" s="107" customFormat="1" ht="15.75" x14ac:dyDescent="0.25">
      <c r="A27" s="116" t="s">
        <v>102</v>
      </c>
      <c r="B27" s="142"/>
      <c r="C27" s="144"/>
      <c r="D27" s="140">
        <f>IF(ISNA(VLOOKUP($A$1,'Cash Handling'!$A$5:$BM$51,21,FALSE))=TRUE,"DEPT not Found",VLOOKUP($A$1,'Cash Handling'!$A$5:$BM$51,21,FALSE))</f>
        <v>45</v>
      </c>
      <c r="E27" s="117">
        <f>IF(ISNA(VLOOKUP($A$1,'Cash Handling'!$A$5:$BM$51,22,FALSE))=TRUE,"DEPT not Found",VLOOKUP($A$1,'Cash Handling'!$A$5:$BM$51,22,FALSE))</f>
        <v>0.6428571428571429</v>
      </c>
      <c r="F27" s="140">
        <f>IF(ISNA(VLOOKUP($A$1,'Cash Handling'!$A$5:$BM$51,28,FALSE))=TRUE,"DEPT not Found",VLOOKUP($A$1,'Cash Handling'!$A$5:$BM$51,28,FALSE))</f>
        <v>67</v>
      </c>
      <c r="G27" s="117">
        <f>IF(ISNA(VLOOKUP($A$1,'Cash Handling'!$A$5:$BM$51,29,FALSE))=TRUE,"DEPT not Found",VLOOKUP($A$1,'Cash Handling'!$A$5:$BM$51,29,FALSE))</f>
        <v>0.57758620689655171</v>
      </c>
      <c r="H27" s="140">
        <f>IF(ISNA(VLOOKUP($A$1,'Cash Handling'!$A$5:$AQ$51,35,FALSE))=TRUE,"DEPT not Found",VLOOKUP($A$1,'Cash Handling'!$A$5:$AQ$51,35,FALSE))</f>
        <v>69</v>
      </c>
      <c r="I27" s="117">
        <f>IF(ISNA(VLOOKUP($A$1,'Cash Handling'!$A$5:$AQ$51,36,FALSE))=TRUE,"DEPT not Found",VLOOKUP($A$1,'Cash Handling'!$A$5:$AQ$51,36,FALSE))</f>
        <v>0.65094339622641506</v>
      </c>
      <c r="J27" s="113">
        <f>IF(ISNA(VLOOKUP($A$1,'Cash Handling'!$A$5:$AQ$51,42,FALSE))=TRUE,"DEPT not Found",VLOOKUP($A$1,'Cash Handling'!$A$5:$AQ$51,42,FALSE))</f>
        <v>102</v>
      </c>
      <c r="K27" s="118">
        <f>IF(ISNA(VLOOKUP($A$1,'Cash Handling'!$A$5:$AQ$51,43,FALSE))=TRUE,"DEPT not Found",VLOOKUP($A$1,'Cash Handling'!$A$5:$AQ$51,43,FALSE))</f>
        <v>0.72857142857142854</v>
      </c>
    </row>
    <row r="28" spans="1:11" s="107" customFormat="1" ht="7.15" customHeight="1" x14ac:dyDescent="0.25">
      <c r="A28" s="145"/>
      <c r="B28" s="146"/>
      <c r="C28" s="135"/>
      <c r="D28" s="146"/>
      <c r="E28" s="135"/>
      <c r="F28" s="146"/>
      <c r="G28" s="135"/>
      <c r="H28" s="146"/>
      <c r="I28" s="114"/>
      <c r="J28" s="147"/>
      <c r="K28" s="115"/>
    </row>
    <row r="29" spans="1:11" s="107" customFormat="1" ht="15.75" x14ac:dyDescent="0.25">
      <c r="A29" s="148" t="s">
        <v>203</v>
      </c>
      <c r="B29" s="150"/>
      <c r="C29" s="149"/>
      <c r="D29" s="150"/>
      <c r="E29" s="149"/>
      <c r="F29" s="150"/>
      <c r="G29" s="149"/>
      <c r="H29" s="150"/>
      <c r="I29" s="114"/>
      <c r="J29" s="151"/>
      <c r="K29" s="115"/>
    </row>
    <row r="30" spans="1:11" s="107" customFormat="1" ht="15.75" x14ac:dyDescent="0.25">
      <c r="A30" s="116" t="s">
        <v>159</v>
      </c>
      <c r="B30" s="140">
        <f>IF(ISNA(VLOOKUP($A$1,'Credit Card'!$A$5:$BO$51,17,FALSE))=TRUE,"DEPT not Found",VLOOKUP($A$1,'Credit Card'!$A$5:$BO$51,17,FALSE))</f>
        <v>55</v>
      </c>
      <c r="C30" s="139"/>
      <c r="D30" s="113">
        <f>IF(ISNA(VLOOKUP($A$1,'Credit Card'!$A$5:$BO$51,25,FALSE))=TRUE,"DEPT not Found",VLOOKUP($A$1,'Credit Card'!$A$5:$BO$51,25,FALSE))</f>
        <v>56</v>
      </c>
      <c r="E30" s="139"/>
      <c r="F30" s="113">
        <f>IF(ISNA(VLOOKUP($A$1,'Credit Card'!$A$5:$BO$51,36,FALSE))=TRUE,"DEPT not Found",VLOOKUP($A$1,'Credit Card'!$A$5:$BO$51,36,FALSE))</f>
        <v>54</v>
      </c>
      <c r="G30" s="139"/>
      <c r="H30" s="140">
        <f>IF(ISNA(VLOOKUP($A$1,'Credit Card'!$A$5:$BO$51,47,FALSE))=TRUE,"DEPT not Found",VLOOKUP($A$1,'Credit Card'!$A$5:$BO$51,47,FALSE))</f>
        <v>50</v>
      </c>
      <c r="I30" s="139"/>
      <c r="J30" s="113">
        <f>IF(ISNA(VLOOKUP($A$1,'Credit Card'!$A$5:$BO$51,58,FALSE))=TRUE,"DEPT not Found",VLOOKUP($A$1,'Credit Card'!$A$5:$BO$51,58,FALSE))</f>
        <v>55</v>
      </c>
      <c r="K30" s="141"/>
    </row>
    <row r="31" spans="1:11" s="107" customFormat="1" ht="15.75" x14ac:dyDescent="0.25">
      <c r="A31" s="116" t="s">
        <v>155</v>
      </c>
      <c r="B31" s="140">
        <f>IF(ISNA(VLOOKUP($A$1,'Credit Card'!$A$5:$BO$51,18,FALSE))=TRUE,"DEPT not Found",VLOOKUP($A$1,'Credit Card'!$A$5:$BO$51,18,FALSE))</f>
        <v>45</v>
      </c>
      <c r="C31" s="135">
        <f>IF(ISNA(VLOOKUP($A$1,'Credit Card'!$A$5:$BO$51,19,FALSE))=TRUE,"DEPT not Found",VLOOKUP($A$1,'Credit Card'!$A$5:$BO$51,19,FALSE))</f>
        <v>0.81818181818181823</v>
      </c>
      <c r="D31" s="113">
        <f>IF(ISNA(VLOOKUP($A$1,'Credit Card'!$A$5:$BO$51,26,FALSE))=TRUE,"DEPT not Found",VLOOKUP($A$1,'Credit Card'!$A$5:$BO$51,26,FALSE))</f>
        <v>42</v>
      </c>
      <c r="E31" s="135">
        <f>IF(ISNA(VLOOKUP($A$1,'Credit Card'!$A$5:$BO$51,27,FALSE))=TRUE,"DEPT not Found",VLOOKUP($A$1,'Credit Card'!$A$5:$BO$51,27,FALSE))</f>
        <v>0.75</v>
      </c>
      <c r="F31" s="113">
        <f>IF(ISNA(VLOOKUP($A$1,'Credit Card'!$A$5:$BO$51,37,FALSE))=TRUE,"DEPT not Found",VLOOKUP($A$1,'Credit Card'!$A$5:$BO$51,37,FALSE))</f>
        <v>52</v>
      </c>
      <c r="G31" s="135">
        <f>IF(ISNA(VLOOKUP($A$1,'Credit Card'!$A$5:$BO$51,38,FALSE))=TRUE,"DEPT not Found",VLOOKUP($A$1,'Credit Card'!$A$5:$BO$51,38,FALSE))</f>
        <v>0.96296296296296291</v>
      </c>
      <c r="H31" s="140">
        <f>IF(ISNA(VLOOKUP($A$1,'Credit Card'!$A$5:$BO$51,48,FALSE))=TRUE,"DEPT not Found",VLOOKUP($A$1,'Credit Card'!$A$5:$BO$51,48,FALSE))</f>
        <v>47</v>
      </c>
      <c r="I31" s="135">
        <f>IF(ISNA(VLOOKUP($A$1,'Credit Card'!$A$5:$BO$51,49,FALSE))=TRUE,"DEPT not Found",VLOOKUP($A$1,'Credit Card'!$A$5:$BO$51,49,FALSE))</f>
        <v>0.94</v>
      </c>
      <c r="J31" s="113">
        <f>IF(ISNA(VLOOKUP($A$1,'Credit Card'!$A$5:$BO$51,59,FALSE))=TRUE,"DEPT not Found",VLOOKUP($A$1,'Credit Card'!$A$5:$BO$51,59,FALSE))</f>
        <v>48</v>
      </c>
      <c r="K31" s="136">
        <f>IF(ISNA(VLOOKUP($A$1,'Credit Card'!$A$5:$BO$51,60,FALSE))=TRUE,"DEPT not Found",VLOOKUP($A$1,'Credit Card'!$A$5:$BO$51,60,FALSE))</f>
        <v>0.87272727272727268</v>
      </c>
    </row>
    <row r="32" spans="1:11" s="107" customFormat="1" ht="15.75" x14ac:dyDescent="0.25">
      <c r="A32" s="116" t="s">
        <v>208</v>
      </c>
      <c r="B32" s="140">
        <f>IF(ISNA(VLOOKUP($A$1,'Credit Card'!$A$5:$BO$51,20,FALSE))=TRUE,"DEPT not Found",VLOOKUP($A$1,'Credit Card'!$A$5:$BO$51,20,FALSE))</f>
        <v>1064559</v>
      </c>
      <c r="C32" s="297">
        <f>(IF(ISNA(VLOOKUP($A$1,'Credit Card'!$A$5:$BO$51,21,FALSE))=TRUE,"DEPT not Found",VLOOKUP($A$1,'Credit Card'!$A$5:$BO$51,21,FALSE))/1000)</f>
        <v>13735.016200000002</v>
      </c>
      <c r="D32" s="140">
        <f>IF(ISNA(VLOOKUP($A$1,'Credit Card'!$A$5:$BO$51,28,FALSE))=TRUE,"DEPT not Found",VLOOKUP($A$1,'Credit Card'!$A$5:$BO$51,28,FALSE))</f>
        <v>1216259</v>
      </c>
      <c r="E32" s="297">
        <f>(IF(ISNA(VLOOKUP($A$1,'Credit Card'!$A$5:$BO$51,29,FALSE))=TRUE,"DEPT not Found",VLOOKUP($A$1,'Credit Card'!$A$5:$BO$51,29,FALSE))/1000)</f>
        <v>14897.130689999996</v>
      </c>
      <c r="F32" s="140">
        <f>IF(ISNA(VLOOKUP($A$1,'Credit Card'!$A$5:$BO$51,39,FALSE))=TRUE,"DEPT not Found",VLOOKUP($A$1,'Credit Card'!$A$5:$BO$51,39,FALSE))</f>
        <v>1258413</v>
      </c>
      <c r="G32" s="297">
        <f>(IF(ISNA(VLOOKUP($A$1,'Credit Card'!$A$5:$BO$51,40,FALSE))=TRUE,"DEPT not Found",VLOOKUP($A$1,'Credit Card'!$A$5:$BO$51,40,FALSE))/1000)</f>
        <v>17671.264090000001</v>
      </c>
      <c r="H32" s="140">
        <f>IF(ISNA(VLOOKUP($A$1,'Credit Card'!$A$5:$BO$51,50,FALSE))=TRUE,"DEPT not Found",VLOOKUP($A$1,'Credit Card'!$A$5:$BO$51,50,FALSE))</f>
        <v>1242335</v>
      </c>
      <c r="I32" s="297">
        <f>(IF(ISNA(VLOOKUP($A$1,'Credit Card'!$A$5:$BO$51,51,FALSE))=TRUE,"DEPT not Found",VLOOKUP($A$1,'Credit Card'!$A$5:$BO$51,51,FALSE))/1000)</f>
        <v>16636.398400000005</v>
      </c>
      <c r="J32" s="113">
        <f>IF(ISNA(VLOOKUP($A$1,'Credit Card'!$A$5:$BO$51,61,FALSE))=TRUE,"DEPT not Found",VLOOKUP($A$1,'Credit Card'!$A$5:$BO$51,61,FALSE))</f>
        <v>955328</v>
      </c>
      <c r="K32" s="298">
        <f>(IF(ISNA(VLOOKUP($A$1,'Credit Card'!$A$5:$BO$51,62,FALSE))=TRUE,"DEPT not Found",VLOOKUP($A$1,'Credit Card'!$A$5:$BO$51,62,FALSE))/1000)</f>
        <v>13358.086080000001</v>
      </c>
    </row>
    <row r="33" spans="1:16" s="107" customFormat="1" ht="15.75" x14ac:dyDescent="0.25">
      <c r="A33" s="116" t="s">
        <v>95</v>
      </c>
      <c r="B33" s="140">
        <f>IF(ISNA(VLOOKUP($A$1,'Credit Card'!$A$5:$BO$51,22,FALSE))=TRUE,"DEPT not Found",VLOOKUP($A$1,'Credit Card'!$A$5:$BO$51,22,FALSE))</f>
        <v>1714</v>
      </c>
      <c r="C33" s="297">
        <f>(IF(ISNA(VLOOKUP($A$1,'Credit Card'!$A$5:$BO$51,23,FALSE))=TRUE,"DEPT not Found",VLOOKUP($A$1,'Credit Card'!$A$5:$BO$51,23,FALSE))/1000)</f>
        <v>262.18099999999998</v>
      </c>
      <c r="D33" s="140">
        <f>IF(ISNA(VLOOKUP($A$1,'Credit Card'!$A$5:$BO$51,30,FALSE))=TRUE,"DEPT not Found",VLOOKUP($A$1,'Credit Card'!$A$5:$BO$51,30,FALSE))</f>
        <v>2099</v>
      </c>
      <c r="E33" s="297">
        <f>(IF(ISNA(VLOOKUP($A$1,'Credit Card'!$A$5:$BO$51,31,FALSE))=TRUE,"DEPT not Found",VLOOKUP($A$1,'Credit Card'!$A$5:$BO$51,31,FALSE))/1000)</f>
        <v>274.74182000000002</v>
      </c>
      <c r="F33" s="140">
        <f>IF(ISNA(VLOOKUP($A$1,'Credit Card'!$A$5:$BO$51,41,FALSE))=TRUE,"DEPT not Found",VLOOKUP($A$1,'Credit Card'!$A$5:$BO$51,41,FALSE))</f>
        <v>1637</v>
      </c>
      <c r="G33" s="297">
        <f>(IF(ISNA(VLOOKUP($A$1,'Credit Card'!$A$5:$BO$51,42,FALSE))=TRUE,"DEPT not Found",VLOOKUP($A$1,'Credit Card'!$A$5:$BO$51,42,FALSE))/1000)</f>
        <v>307.18218999999988</v>
      </c>
      <c r="H33" s="140">
        <f>IF(ISNA(VLOOKUP($A$1,'Credit Card'!$A$5:$BO$51,52,FALSE))=TRUE,"DEPT not Found",VLOOKUP($A$1,'Credit Card'!$A$5:$BO$51,52,FALSE))</f>
        <v>1344</v>
      </c>
      <c r="I33" s="297">
        <f>(IF(ISNA(VLOOKUP($A$1,'Credit Card'!$A$5:$BO$51,53,FALSE))=TRUE,"DEPT not Found",VLOOKUP($A$1,'Credit Card'!$A$5:$BO$51,53,FALSE))/1000)</f>
        <v>289.03195000000005</v>
      </c>
      <c r="J33" s="113">
        <f>IF(ISNA(VLOOKUP($A$1,'Credit Card'!$A$5:$BO$51,63,FALSE))=TRUE,"DEPT not Found",VLOOKUP($A$1,'Credit Card'!$A$5:$BO$51,63,FALSE))</f>
        <v>6125</v>
      </c>
      <c r="K33" s="298">
        <f>(IF(ISNA(VLOOKUP($A$1,'Credit Card'!$A$5:$BO$51,64,FALSE))=TRUE,"DEPT not Found",VLOOKUP($A$1,'Credit Card'!$A$5:$BO$51,64,FALSE))/1000)</f>
        <v>824.94928999999991</v>
      </c>
    </row>
    <row r="34" spans="1:16" s="107" customFormat="1" ht="15.75" x14ac:dyDescent="0.25">
      <c r="A34" s="116" t="s">
        <v>173</v>
      </c>
      <c r="B34" s="140"/>
      <c r="C34" s="152"/>
      <c r="D34" s="140">
        <f>IF(ISNA(VLOOKUP($A$1,'Credit Card'!$A$5:$BO$51,32,FALSE))=TRUE,"DEPT not Found",VLOOKUP($A$1,'Credit Card'!$A$5:$BO$51,32,FALSE))</f>
        <v>48</v>
      </c>
      <c r="E34" s="139"/>
      <c r="F34" s="140">
        <f>IF(ISNA(VLOOKUP($A$1,'Credit Card'!$A$5:$BO$51,43,FALSE))=TRUE,"DEPT not Found",VLOOKUP($A$1,'Credit Card'!$A$5:$BO$51,43,FALSE))</f>
        <v>49</v>
      </c>
      <c r="G34" s="139"/>
      <c r="H34" s="140">
        <f>IF(ISNA(VLOOKUP($A$1,'Credit Card'!$A$5:$BO$51,54,FALSE))=TRUE,"DEPT not Found",VLOOKUP($A$1,'Credit Card'!$A$5:$BO$51,54,FALSE))</f>
        <v>40</v>
      </c>
      <c r="I34" s="139"/>
      <c r="J34" s="113">
        <f>IF(ISNA(VLOOKUP($A$1,'Credit Card'!$A$5:$BO$51,65,FALSE))=TRUE,"DEPT not Found",VLOOKUP($A$1,'Credit Card'!$A$5:$BO$51,65,FALSE))</f>
        <v>44</v>
      </c>
      <c r="K34" s="141"/>
    </row>
    <row r="35" spans="1:16" s="107" customFormat="1" ht="15.75" x14ac:dyDescent="0.25">
      <c r="A35" s="116" t="s">
        <v>209</v>
      </c>
      <c r="B35" s="140"/>
      <c r="C35" s="152"/>
      <c r="D35" s="140">
        <f>IF(ISNA(VLOOKUP($A$1,'Credit Card'!$A$5:$BO$51,33,FALSE))=TRUE,"DEPT not Found",VLOOKUP($A$1,'Credit Card'!$A$5:$BO$51,33,FALSE))</f>
        <v>21</v>
      </c>
      <c r="E35" s="117">
        <f>IF(ISNA(VLOOKUP($A$1,'Credit Card'!$A$5:$BO$51,34,FALSE))=TRUE,"DEPT not Found",VLOOKUP($A$1,'Credit Card'!$A$5:$BO$51,34,FALSE))</f>
        <v>0.4375</v>
      </c>
      <c r="F35" s="140">
        <f>IF(ISNA(VLOOKUP($A$1,'Credit Card'!$A$5:$BO$51,44,FALSE))=TRUE,"DEPT not Found",VLOOKUP($A$1,'Credit Card'!$A$5:$BO$51,44,FALSE))</f>
        <v>23</v>
      </c>
      <c r="G35" s="117">
        <f>IF(ISNA(VLOOKUP($A$1,'Credit Card'!$A$5:$BO$51,45,FALSE))=TRUE,"DEPT not Found",VLOOKUP($A$1,'Credit Card'!$A$5:$BO$51,45,FALSE))</f>
        <v>0.46938775510204084</v>
      </c>
      <c r="H35" s="140">
        <f>IF(ISNA(VLOOKUP($A$1,'Credit Card'!$A$5:$BO$51,55,FALSE))=TRUE,"DEPT not Found",VLOOKUP($A$1,'Credit Card'!$A$5:$BO$51,55,FALSE))</f>
        <v>20</v>
      </c>
      <c r="I35" s="117">
        <f>IF(ISNA(VLOOKUP($A$1,'Credit Card'!$A$5:$BO$51,56,FALSE))=TRUE,"DEPT not Found",VLOOKUP($A$1,'Credit Card'!$A$5:$BO$51,56,FALSE))</f>
        <v>0.5</v>
      </c>
      <c r="J35" s="113">
        <f>IF(ISNA(VLOOKUP($A$1,'Credit Card'!$A$5:$BO$51,66,FALSE))=TRUE,"DEPT not Found",VLOOKUP($A$1,'Credit Card'!$A$5:$BO$51,66,FALSE))</f>
        <v>40</v>
      </c>
      <c r="K35" s="118">
        <f>IF(ISNA(VLOOKUP($A$1,'Credit Card'!$A$5:$BO$51,67,FALSE))=TRUE,"DEPT not Found",VLOOKUP($A$1,'Credit Card'!$A$5:$BO$51,67,FALSE))</f>
        <v>0.90909090909090906</v>
      </c>
    </row>
    <row r="36" spans="1:16" s="107" customFormat="1" ht="7.15" customHeight="1" thickBot="1" x14ac:dyDescent="0.3">
      <c r="A36" s="128"/>
      <c r="B36" s="153"/>
      <c r="C36" s="153"/>
      <c r="D36" s="153"/>
      <c r="E36" s="153"/>
      <c r="F36" s="153"/>
      <c r="G36" s="153"/>
      <c r="H36" s="153"/>
      <c r="I36" s="129"/>
      <c r="J36" s="153"/>
      <c r="K36" s="130"/>
    </row>
    <row r="37" spans="1:16" s="107" customFormat="1" ht="16.5" customHeight="1" thickBot="1" x14ac:dyDescent="0.3">
      <c r="A37" s="131"/>
      <c r="B37" s="313"/>
      <c r="C37" s="313"/>
      <c r="D37" s="313"/>
      <c r="E37" s="313"/>
      <c r="F37" s="313"/>
      <c r="G37" s="313"/>
      <c r="H37" s="313"/>
      <c r="I37" s="132"/>
      <c r="J37" s="313"/>
      <c r="K37" s="132"/>
    </row>
    <row r="38" spans="1:16" s="107" customFormat="1" ht="18.75" x14ac:dyDescent="0.3">
      <c r="A38" s="392" t="s">
        <v>349</v>
      </c>
      <c r="B38" s="393"/>
      <c r="C38" s="393"/>
      <c r="D38" s="393"/>
      <c r="E38" s="393"/>
      <c r="F38" s="393"/>
      <c r="G38" s="393"/>
      <c r="H38" s="393"/>
      <c r="I38" s="393"/>
      <c r="J38" s="393"/>
      <c r="K38" s="394"/>
    </row>
    <row r="39" spans="1:16" s="107" customFormat="1" ht="15.75" x14ac:dyDescent="0.25">
      <c r="A39" s="108"/>
      <c r="B39" s="397" t="s">
        <v>52</v>
      </c>
      <c r="C39" s="397"/>
      <c r="D39" s="397" t="s">
        <v>53</v>
      </c>
      <c r="E39" s="397"/>
      <c r="F39" s="397" t="s">
        <v>198</v>
      </c>
      <c r="G39" s="397"/>
      <c r="H39" s="397" t="s">
        <v>199</v>
      </c>
      <c r="I39" s="397"/>
      <c r="J39" s="397" t="s">
        <v>415</v>
      </c>
      <c r="K39" s="398"/>
    </row>
    <row r="40" spans="1:16" s="107" customFormat="1" ht="15.75" x14ac:dyDescent="0.25">
      <c r="A40" s="109" t="s">
        <v>414</v>
      </c>
      <c r="B40" s="405">
        <f>(IF(ISNA(VLOOKUP($A$1,'T&amp;E Spend'!$A$5:$X$53,6,FALSE))=TRUE,"DEPT not Found",VLOOKUP($A$1,'T&amp;E Spend'!$A$5:$X$53,6,FALSE))/1000)</f>
        <v>2561.0547499999861</v>
      </c>
      <c r="C40" s="406"/>
      <c r="D40" s="395">
        <f>(IF(ISNA(VLOOKUP($A$1,'T&amp;E Spend'!$A$5:$X$53,10,FALSE))=TRUE,"DEPT not Found",VLOOKUP($A$1,'T&amp;E Spend'!$A$5:$X$53,10,FALSE))/1000)</f>
        <v>2355.9294599999926</v>
      </c>
      <c r="E40" s="406"/>
      <c r="F40" s="395">
        <f>(IF(ISNA(VLOOKUP($A$1,'T&amp;E Spend'!$A$5:$X$53,14,FALSE))=TRUE,"DEPT not Found",VLOOKUP($A$1,'T&amp;E Spend'!$A$5:$X$53,14,FALSE))/1000)</f>
        <v>2297.8123699999928</v>
      </c>
      <c r="G40" s="406"/>
      <c r="H40" s="405">
        <f>(IF(ISNA(VLOOKUP($A$1,'T&amp;E Spend'!$A$5:$X$53,18,FALSE))=TRUE,"DEPT not Found",VLOOKUP($A$1,'T&amp;E Spend'!$A$5:$X$53,18,FALSE))/1000)</f>
        <v>2481.8450999999955</v>
      </c>
      <c r="I40" s="406"/>
      <c r="J40" s="395">
        <f>(IF(ISNA(VLOOKUP($A$1,'T&amp;E Spend'!$A$5:$X$53,22,FALSE))=TRUE,"DEPT not Found",VLOOKUP($A$1,'T&amp;E Spend'!$A$5:$X$53,22,FALSE))/1000)</f>
        <v>1686.6659099999938</v>
      </c>
      <c r="K40" s="396"/>
    </row>
    <row r="41" spans="1:16" s="107" customFormat="1" ht="15.75" x14ac:dyDescent="0.25">
      <c r="A41" s="109" t="s">
        <v>178</v>
      </c>
      <c r="B41" s="157"/>
      <c r="C41" s="111"/>
      <c r="D41" s="110"/>
      <c r="E41" s="111"/>
      <c r="F41" s="110"/>
      <c r="G41" s="111"/>
      <c r="H41" s="157"/>
      <c r="I41" s="111"/>
      <c r="J41" s="110"/>
      <c r="K41" s="89"/>
    </row>
    <row r="42" spans="1:16" s="107" customFormat="1" ht="15.75" x14ac:dyDescent="0.25">
      <c r="A42" s="112" t="s">
        <v>59</v>
      </c>
      <c r="B42" s="140">
        <f>IF(ISNA(VLOOKUP($A$1,PCards!$A$5:$AW$51,16,FALSE))=TRUE,"DEPT not Found",VLOOKUP($A$1,PCards!$A$5:$AW$51,16,FALSE))</f>
        <v>227</v>
      </c>
      <c r="C42" s="114"/>
      <c r="D42" s="113">
        <f>IF(ISNA(VLOOKUP($A$1,PCards!$A$5:$AW$51,23,FALSE))=TRUE,"DEPT not Found",VLOOKUP($A$1,PCards!$A$5:$AW$51,23,FALSE))</f>
        <v>231</v>
      </c>
      <c r="E42" s="114"/>
      <c r="F42" s="113">
        <f>IF(ISNA(VLOOKUP($A$1,PCards!$A$5:$AW$51,30,FALSE))=TRUE,"DEPT not Found",VLOOKUP($A$1,PCards!$A$5:$AW$51,30,FALSE))</f>
        <v>234</v>
      </c>
      <c r="G42" s="114"/>
      <c r="H42" s="140">
        <f>IF(ISNA(VLOOKUP($A$1,PCards!$A$5:$AW$51,37,FALSE))=TRUE,"DEPT not Found",VLOOKUP($A$1,PCards!$A$5:$AW$51,37,FALSE))</f>
        <v>232</v>
      </c>
      <c r="I42" s="114"/>
      <c r="J42" s="113">
        <f>IF(ISNA(VLOOKUP($A$1,PCards!$A$5:$AW$51,44,FALSE))=TRUE,"DEPT not Found",VLOOKUP($A$1,PCards!$A$5:$AW$51,44,FALSE))</f>
        <v>241</v>
      </c>
      <c r="K42" s="115"/>
    </row>
    <row r="43" spans="1:16" s="107" customFormat="1" ht="15.75" x14ac:dyDescent="0.25">
      <c r="A43" s="112" t="s">
        <v>54</v>
      </c>
      <c r="B43" s="140">
        <f>IF(ISNA(VLOOKUP($A$1,PCards!$A$5:$AW$51,17,FALSE))=TRUE,"DEPT not Found",VLOOKUP($A$1,PCards!$A$5:$AW$51,17,FALSE))</f>
        <v>206</v>
      </c>
      <c r="C43" s="114"/>
      <c r="D43" s="113">
        <f>IF(ISNA(VLOOKUP($A$1,PCards!$A$5:$AW$51,24,FALSE))=TRUE,"DEPT not Found",VLOOKUP($A$1,PCards!$A$5:$AW$51,24,FALSE))</f>
        <v>212</v>
      </c>
      <c r="E43" s="114"/>
      <c r="F43" s="113">
        <f>IF(ISNA(VLOOKUP($A$1,PCards!$A$5:$AW$51,31,FALSE))=TRUE,"DEPT not Found",VLOOKUP($A$1,PCards!$A$5:$AW$51,31,FALSE))</f>
        <v>213</v>
      </c>
      <c r="G43" s="114"/>
      <c r="H43" s="140">
        <f>IF(ISNA(VLOOKUP($A$1,PCards!$A$5:$AW$51,38,FALSE))=TRUE,"DEPT not Found",VLOOKUP($A$1,PCards!$A$5:$AW$51,38,FALSE))</f>
        <v>215</v>
      </c>
      <c r="I43" s="114"/>
      <c r="J43" s="113">
        <f>IF(ISNA(VLOOKUP($A$1,PCards!$A$5:$AW$51,45,FALSE))=TRUE,"DEPT not Found",VLOOKUP($A$1,PCards!$A$5:$AW$51,45,FALSE))</f>
        <v>231</v>
      </c>
      <c r="K43" s="115"/>
    </row>
    <row r="44" spans="1:16" s="107" customFormat="1" ht="15.75" x14ac:dyDescent="0.25">
      <c r="A44" s="116" t="s">
        <v>55</v>
      </c>
      <c r="B44" s="140">
        <f>IF(ISNA(VLOOKUP($A$1,PCards!$A$5:$AW$51,18,FALSE))=TRUE,"DEPT not Found",VLOOKUP($A$1,PCards!$A$5:$AW$51,18,FALSE))</f>
        <v>5</v>
      </c>
      <c r="C44" s="117">
        <f>IF(ISNA(VLOOKUP($A$1,PCards!$A$5:$AW$51,19,FALSE))=TRUE,"DEPT not Found",VLOOKUP($A$1,PCards!$A$5:$AW$51,19,FALSE))</f>
        <v>2.4271844660194174E-2</v>
      </c>
      <c r="D44" s="113">
        <f>IF(ISNA(VLOOKUP($A$1,PCards!$A$5:$AW$51,25,FALSE))=TRUE,"DEPT not Found",VLOOKUP($A$1,PCards!$A$5:$AW$51,25,FALSE))</f>
        <v>8</v>
      </c>
      <c r="E44" s="117">
        <f>IF(ISNA(VLOOKUP($A$1,PCards!$A$5:$AW$51,26,FALSE))=TRUE,"DEPT not Found",VLOOKUP($A$1,PCards!$A$5:$AW$51,26,FALSE))</f>
        <v>3.7735849056603772E-2</v>
      </c>
      <c r="F44" s="113">
        <f>IF(ISNA(VLOOKUP($A$1,PCards!$A$5:$AW$51,32,FALSE))=TRUE,"DEPT not Found",VLOOKUP($A$1,PCards!$A$5:$AW$51,32,FALSE))</f>
        <v>11</v>
      </c>
      <c r="G44" s="117">
        <f>IF(ISNA(VLOOKUP($A$1,PCards!$A$5:$AW$51,33,FALSE))=TRUE,"DEPT not Found",VLOOKUP($A$1,PCards!$A$5:$AW$51,33,FALSE))</f>
        <v>5.1643192488262914E-2</v>
      </c>
      <c r="H44" s="140">
        <f>IF(ISNA(VLOOKUP($A$1,PCards!$A$5:$AW$51,39,FALSE))=TRUE,"DEPT not Found",VLOOKUP($A$1,PCards!$A$5:$AW$51,39,FALSE))</f>
        <v>3</v>
      </c>
      <c r="I44" s="117">
        <f>IF(ISNA(VLOOKUP($A$1,PCards!$A$5:$AW$51,40,FALSE))=TRUE,"DEPT not Found",VLOOKUP($A$1,PCards!$A$5:$AW$51,40,FALSE))</f>
        <v>1.3953488372093023E-2</v>
      </c>
      <c r="J44" s="113">
        <f>IF(ISNA(VLOOKUP($A$1,PCards!$A$5:$AW$51,46,FALSE))=TRUE,"DEPT not Found",VLOOKUP($A$1,PCards!$A$5:$AW$51,46,FALSE))</f>
        <v>3</v>
      </c>
      <c r="K44" s="118">
        <f>IF(ISNA(VLOOKUP($A$1,PCards!$A$5:$AW$51,47,FALSE))=TRUE,"DEPT not Found",VLOOKUP($A$1,PCards!$A$5:$AW$51,47,FALSE))</f>
        <v>1.2987012987012988E-2</v>
      </c>
    </row>
    <row r="45" spans="1:16" s="107" customFormat="1" ht="15" customHeight="1" x14ac:dyDescent="0.25">
      <c r="A45" s="116" t="s">
        <v>56</v>
      </c>
      <c r="B45" s="140">
        <f>IF(ISNA(VLOOKUP($A$1,PCards!$A$5:$AW$51,20,FALSE))=TRUE,"DEPT not Found",VLOOKUP($A$1,PCards!$A$5:$AW$51,20,FALSE))</f>
        <v>6</v>
      </c>
      <c r="C45" s="117">
        <f>IF(ISNA(VLOOKUP($A$1,PCards!$A$5:$AW$51,21,FALSE))=TRUE,"DEPT not Found",VLOOKUP($A$1,PCards!$A$5:$AW$51,21,FALSE))</f>
        <v>2.9126213592233011E-2</v>
      </c>
      <c r="D45" s="113">
        <f>IF(ISNA(VLOOKUP($A$1,PCards!$A$5:$AW$51,27,FALSE))=TRUE,"DEPT not Found",VLOOKUP($A$1,PCards!$A$5:$AW$51,27,FALSE))</f>
        <v>1</v>
      </c>
      <c r="E45" s="117">
        <f>IF(ISNA(VLOOKUP($A$1,PCards!$A$5:$AW$51,28,FALSE))=TRUE,"DEPT not Found",VLOOKUP($A$1,PCards!$A$5:$AW$51,28,FALSE))</f>
        <v>4.7169811320754715E-3</v>
      </c>
      <c r="F45" s="113">
        <f>IF(ISNA(VLOOKUP($A$1,PCards!$A$5:$AW$51,34,FALSE))=TRUE,"DEPT not Found",VLOOKUP($A$1,PCards!$A$5:$AW$51,34,FALSE))</f>
        <v>1</v>
      </c>
      <c r="G45" s="117">
        <f>IF(ISNA(VLOOKUP($A$1,PCards!$A$5:$AW$51,35,FALSE))=TRUE,"DEPT not Found",VLOOKUP($A$1,PCards!$A$5:$AW$51,35,FALSE))</f>
        <v>4.6948356807511738E-3</v>
      </c>
      <c r="H45" s="140">
        <f>IF(ISNA(VLOOKUP($A$1,PCards!$A$5:$AW$51,41,FALSE))=TRUE,"DEPT not Found",VLOOKUP($A$1,PCards!$A$5:$AW$51,41,FALSE))</f>
        <v>2</v>
      </c>
      <c r="I45" s="117">
        <f>IF(ISNA(VLOOKUP($A$1,PCards!$A$5:$AW$51,42,FALSE))=TRUE,"DEPT not Found",VLOOKUP($A$1,PCards!$A$5:$AW$51,42,FALSE))</f>
        <v>9.3023255813953487E-3</v>
      </c>
      <c r="J45" s="113">
        <f>IF(ISNA(VLOOKUP($A$1,PCards!$A$5:$AW$51,48,FALSE))=TRUE,"DEPT not Found",VLOOKUP($A$1,PCards!$A$5:$AW$51,48,FALSE))</f>
        <v>9</v>
      </c>
      <c r="K45" s="118">
        <f>IF(ISNA(VLOOKUP($A$1,PCards!$A$5:$AW$51,49,FALSE))=TRUE,"DEPT not Found",VLOOKUP($A$1,PCards!$A$5:$AW$51,49,FALSE))</f>
        <v>3.896103896103896E-2</v>
      </c>
    </row>
    <row r="46" spans="1:16" s="107" customFormat="1" ht="7.15" customHeight="1" x14ac:dyDescent="0.25">
      <c r="A46" s="119"/>
      <c r="B46" s="158"/>
      <c r="C46" s="121"/>
      <c r="D46" s="120"/>
      <c r="E46" s="121"/>
      <c r="F46" s="120"/>
      <c r="G46" s="121"/>
      <c r="H46" s="292"/>
      <c r="I46" s="121"/>
      <c r="J46" s="122"/>
      <c r="K46" s="123"/>
    </row>
    <row r="47" spans="1:16" s="107" customFormat="1" ht="15.75" x14ac:dyDescent="0.25">
      <c r="A47" s="124" t="s">
        <v>163</v>
      </c>
      <c r="B47" s="133"/>
      <c r="C47" s="111"/>
      <c r="D47" s="88"/>
      <c r="E47" s="111"/>
      <c r="F47" s="88"/>
      <c r="G47" s="111"/>
      <c r="H47" s="133"/>
      <c r="I47" s="111"/>
      <c r="J47" s="88"/>
      <c r="K47" s="89"/>
    </row>
    <row r="48" spans="1:16" s="107" customFormat="1" ht="15.75" x14ac:dyDescent="0.25">
      <c r="A48" s="116" t="s">
        <v>92</v>
      </c>
      <c r="B48" s="300"/>
      <c r="C48" s="125"/>
      <c r="D48" s="113">
        <f>IF(ISNA(VLOOKUP($A$1,'Concur Approvers'!$A$5:$T$51,6,FALSE))=TRUE,"DEPT not Found",VLOOKUP($A$1,'Concur Approvers'!$A$5:$T$51,6,FALSE))</f>
        <v>99</v>
      </c>
      <c r="E48" s="125"/>
      <c r="F48" s="113">
        <f>IF(ISNA(VLOOKUP($A$1,'Concur Approvers'!$A$5:$T$51,10,FALSE))=TRUE,"DEPT not Found",VLOOKUP($A$1,'Concur Approvers'!$A$5:$T$51,10,FALSE))</f>
        <v>107</v>
      </c>
      <c r="G48" s="125"/>
      <c r="H48" s="140">
        <f>IF(ISNA(VLOOKUP($A$1,'Concur Approvers'!$A$5:$T$51,14,FALSE))=TRUE,"DEPT not Found",VLOOKUP($A$1,'Concur Approvers'!$A$5:$T$51,14,FALSE))</f>
        <v>120</v>
      </c>
      <c r="I48" s="121"/>
      <c r="J48" s="113">
        <f>IF(ISNA(VLOOKUP($A$1,'Concur Approvers'!$A$5:$T$51,18,FALSE))=TRUE,"DEPT not Found",VLOOKUP($A$1,'Concur Approvers'!$A$5:$T$51,18,FALSE))</f>
        <v>114</v>
      </c>
      <c r="K48" s="123"/>
      <c r="M48" s="126"/>
      <c r="N48" s="126"/>
      <c r="O48" s="126"/>
      <c r="P48" s="126"/>
    </row>
    <row r="49" spans="1:16" s="107" customFormat="1" ht="15.75" x14ac:dyDescent="0.25">
      <c r="A49" s="116" t="s">
        <v>91</v>
      </c>
      <c r="B49" s="300"/>
      <c r="C49" s="125"/>
      <c r="D49" s="113">
        <f>IF(ISNA(VLOOKUP($A$1,'Concur Approvers'!$A$5:$T$51,7,FALSE))=TRUE,"DEPT not Found",VLOOKUP($A$1,'Concur Approvers'!$A$5:$T$51,7,FALSE))</f>
        <v>28</v>
      </c>
      <c r="E49" s="117">
        <f>IF(ISNA(VLOOKUP($A$1,'Concur Approvers'!$A$5:$T$51,8,FALSE))=TRUE,"DEPT not Found",VLOOKUP($A$1,'Concur Approvers'!$A$5:$T$51,8,FALSE))</f>
        <v>0.28282828282828282</v>
      </c>
      <c r="F49" s="113">
        <f>IF(ISNA(VLOOKUP($A$1,'Concur Approvers'!$A$5:$T$51,11,FALSE))=TRUE,"DEPT not Found",VLOOKUP($A$1,'Concur Approvers'!$A$5:$T$51,11,FALSE))</f>
        <v>83</v>
      </c>
      <c r="G49" s="117">
        <f>IF(ISNA(VLOOKUP($A$1,'Concur Approvers'!$A$5:$T$51,12,FALSE))=TRUE,"DEPT not Found",VLOOKUP($A$1,'Concur Approvers'!$A$5:$T$51,12,FALSE))</f>
        <v>0.77570093457943923</v>
      </c>
      <c r="H49" s="140">
        <f>IF(ISNA(VLOOKUP($A$1,'Concur Approvers'!$A$5:$T$51,15,FALSE))=TRUE,"DEPT not Found",VLOOKUP($A$1,'Concur Approvers'!$A$5:$T$51,15,FALSE))</f>
        <v>113</v>
      </c>
      <c r="I49" s="117">
        <f>IF(ISNA(VLOOKUP($A$1,'Concur Approvers'!$A$5:$T$51,16,FALSE))=TRUE,"DEPT not Found",VLOOKUP($A$1,'Concur Approvers'!$A$5:$T$51,16,FALSE))</f>
        <v>0.94166666666666665</v>
      </c>
      <c r="J49" s="113">
        <f>IF(ISNA(VLOOKUP($A$1,'Concur Approvers'!$A$5:$T$51,19,FALSE))=TRUE,"DEPT not Found",VLOOKUP($A$1,'Concur Approvers'!$A$5:$T$51,19,FALSE))</f>
        <v>103</v>
      </c>
      <c r="K49" s="118">
        <f>IF(ISNA(VLOOKUP($A$1,'Concur Approvers'!$A$5:$T$51,20,FALSE))=TRUE,"DEPT not Found",VLOOKUP($A$1,'Concur Approvers'!$A$5:$T$51,20,FALSE))</f>
        <v>0.90350877192982459</v>
      </c>
      <c r="M49" s="127"/>
      <c r="N49" s="127"/>
      <c r="O49" s="127"/>
      <c r="P49" s="127"/>
    </row>
    <row r="50" spans="1:16" s="107" customFormat="1" ht="7.15" customHeight="1" thickBot="1" x14ac:dyDescent="0.3">
      <c r="A50" s="128"/>
      <c r="B50" s="129"/>
      <c r="C50" s="129"/>
      <c r="D50" s="129"/>
      <c r="E50" s="129"/>
      <c r="F50" s="129"/>
      <c r="G50" s="129"/>
      <c r="H50" s="129"/>
      <c r="I50" s="129"/>
      <c r="J50" s="129"/>
      <c r="K50" s="130"/>
    </row>
    <row r="51" spans="1:16" s="107" customFormat="1" ht="7.15" customHeight="1" x14ac:dyDescent="0.25">
      <c r="A51" s="131"/>
      <c r="B51" s="132"/>
      <c r="C51" s="132"/>
      <c r="D51" s="132"/>
      <c r="E51" s="132"/>
      <c r="F51" s="132"/>
      <c r="G51" s="132"/>
      <c r="H51" s="132"/>
      <c r="I51" s="132"/>
      <c r="J51" s="132"/>
      <c r="K51" s="132"/>
    </row>
    <row r="52" spans="1:16" s="107" customFormat="1" ht="16.5" thickBot="1" x14ac:dyDescent="0.3">
      <c r="A52" s="131"/>
      <c r="B52" s="132"/>
      <c r="C52" s="132"/>
      <c r="D52" s="132"/>
      <c r="E52" s="132"/>
      <c r="F52" s="132"/>
      <c r="G52" s="132"/>
      <c r="H52" s="132"/>
      <c r="I52" s="132"/>
      <c r="J52" s="132"/>
      <c r="K52" s="132"/>
    </row>
    <row r="53" spans="1:16" s="107" customFormat="1" ht="18.75" x14ac:dyDescent="0.3">
      <c r="A53" s="392" t="s">
        <v>205</v>
      </c>
      <c r="B53" s="393"/>
      <c r="C53" s="393"/>
      <c r="D53" s="393"/>
      <c r="E53" s="393"/>
      <c r="F53" s="393"/>
      <c r="G53" s="393"/>
      <c r="H53" s="393"/>
      <c r="I53" s="393"/>
      <c r="J53" s="393"/>
      <c r="K53" s="394"/>
    </row>
    <row r="54" spans="1:16" s="107" customFormat="1" ht="15.75" x14ac:dyDescent="0.25">
      <c r="A54" s="154"/>
      <c r="B54" s="397" t="s">
        <v>52</v>
      </c>
      <c r="C54" s="397"/>
      <c r="D54" s="397" t="s">
        <v>53</v>
      </c>
      <c r="E54" s="397"/>
      <c r="F54" s="397" t="s">
        <v>198</v>
      </c>
      <c r="G54" s="397"/>
      <c r="H54" s="397" t="s">
        <v>199</v>
      </c>
      <c r="I54" s="397"/>
      <c r="J54" s="397" t="s">
        <v>415</v>
      </c>
      <c r="K54" s="398"/>
    </row>
    <row r="55" spans="1:16" s="107" customFormat="1" ht="15.75" x14ac:dyDescent="0.25">
      <c r="A55" s="148" t="s">
        <v>165</v>
      </c>
      <c r="B55" s="407">
        <f>(IF(ISNA(VLOOKUP($A$1,'Gift Funds'!$A$5:$X$51,6,FALSE))=TRUE,"DEPT not Found",VLOOKUP($A$1,'Gift Funds'!$A$5:$X$51,6,FALSE))/1000)</f>
        <v>4844.3669300000001</v>
      </c>
      <c r="C55" s="408"/>
      <c r="D55" s="401">
        <f>(IF(ISNA(VLOOKUP($A$1,'Gift Funds'!$A$5:$X$51,10,FALSE))=TRUE,"DEPT not Found",VLOOKUP($A$1,'Gift Funds'!$A$5:$X$51,10,FALSE))/1000)</f>
        <v>4684.5336099999995</v>
      </c>
      <c r="E55" s="408"/>
      <c r="F55" s="401">
        <f>(IF(ISNA(VLOOKUP($A$1,'Gift Funds'!$A$5:$X$51,14,FALSE))=TRUE,"DEPT not Found",VLOOKUP($A$1,'Gift Funds'!$A$5:$X$51,14,FALSE))/1000)</f>
        <v>5550.7911799999993</v>
      </c>
      <c r="G55" s="408"/>
      <c r="H55" s="407">
        <f>(IF(ISNA(VLOOKUP($A$1,'Gift Funds'!$A$5:$X$51,18,FALSE))=TRUE,"DEPT not Found",VLOOKUP($A$1,'Gift Funds'!$A$5:$X$51,18,FALSE))/1000)</f>
        <v>6708.4428999999973</v>
      </c>
      <c r="I55" s="408"/>
      <c r="J55" s="401">
        <f>(IF(ISNA(VLOOKUP($A$1,'Gift Funds'!$A$5:$X$51,22,FALSE))=TRUE,"DEPT not Found",VLOOKUP($A$1,'Gift Funds'!$A$5:$X$51,22,FALSE))/1000)</f>
        <v>8041.8177400000022</v>
      </c>
      <c r="K55" s="402"/>
    </row>
    <row r="56" spans="1:16" s="107" customFormat="1" ht="15.75" x14ac:dyDescent="0.25">
      <c r="A56" s="116" t="s">
        <v>96</v>
      </c>
      <c r="B56" s="140">
        <f>IF(ISNA(VLOOKUP($A$1,'Gift Funds'!$A$5:$X$51,7,FALSE))=TRUE,"DEPT not Found",VLOOKUP($A$1,'Gift Funds'!$A$5:$X$51,7,FALSE))</f>
        <v>58</v>
      </c>
      <c r="C56" s="297">
        <f>(IF(ISNA(VLOOKUP($A$1,'Gift Funds'!$A$5:$X$51,8,FALSE))=TRUE,"DEPT not Found",VLOOKUP($A$1,'Gift Funds'!$A$5:$X$51,8,FALSE))/1000)</f>
        <v>522.13454999999999</v>
      </c>
      <c r="D56" s="140">
        <f>IF(ISNA(VLOOKUP($A$1,'Gift Funds'!$A$5:$X$51,11,FALSE))=TRUE,"DEPT not Found",VLOOKUP($A$1,'Gift Funds'!$A$5:$X$51,11,FALSE))</f>
        <v>62</v>
      </c>
      <c r="E56" s="297">
        <f>(IF(ISNA(VLOOKUP($A$1,'Gift Funds'!$A$5:$X$51,12,FALSE))=TRUE,"DEPT not Found",VLOOKUP($A$1,'Gift Funds'!$A$5:$X$51,12,FALSE))/1000)</f>
        <v>193.32572999999999</v>
      </c>
      <c r="F56" s="140">
        <f>IF(ISNA(VLOOKUP($A$1,'Gift Funds'!$A$5:$X$51,15,FALSE))=TRUE,"DEPT not Found",VLOOKUP($A$1,'Gift Funds'!$A$5:$X$51,15,FALSE))</f>
        <v>24</v>
      </c>
      <c r="G56" s="297">
        <f>(IF(ISNA(VLOOKUP($A$1,'Gift Funds'!$A$5:$X$51,16,FALSE))=TRUE,"DEPT not Found",VLOOKUP($A$1,'Gift Funds'!$A$5:$X$51,16,FALSE))/1000)</f>
        <v>214.76788999999997</v>
      </c>
      <c r="H56" s="140">
        <f>IF(ISNA(VLOOKUP($A$1,'Gift Funds'!$A$5:$X$51,19,FALSE))=TRUE,"DEPT not Found",VLOOKUP($A$1,'Gift Funds'!$A$5:$X$51,19,FALSE))</f>
        <v>59</v>
      </c>
      <c r="I56" s="297">
        <f>(IF(ISNA(VLOOKUP($A$1,'Gift Funds'!$A$5:$X$51,20,FALSE))=TRUE,"DEPT not Found",VLOOKUP($A$1,'Gift Funds'!$A$5:$X$51,20,FALSE))/1000)</f>
        <v>498.36478999999997</v>
      </c>
      <c r="J56" s="113">
        <f>IF(ISNA(VLOOKUP($A$1,'Gift Funds'!$A$5:$X$51,23,FALSE))=TRUE,"DEPT not Found",VLOOKUP($A$1,'Gift Funds'!$A$5:$X$51,23,FALSE))</f>
        <v>47</v>
      </c>
      <c r="K56" s="298">
        <f>(IF(ISNA(VLOOKUP($A$1,'Gift Funds'!$A$5:$X$51,24,FALSE))=TRUE,"DEPT not Found",VLOOKUP($A$1,'Gift Funds'!$A$5:$X$51,24,FALSE))/1000)</f>
        <v>466.57511999999997</v>
      </c>
    </row>
    <row r="57" spans="1:16" s="107" customFormat="1" ht="7.15" customHeight="1" thickBot="1" x14ac:dyDescent="0.3">
      <c r="A57" s="128"/>
      <c r="B57" s="129"/>
      <c r="C57" s="129"/>
      <c r="D57" s="129"/>
      <c r="E57" s="129"/>
      <c r="F57" s="129"/>
      <c r="G57" s="129"/>
      <c r="H57" s="129"/>
      <c r="I57" s="129"/>
      <c r="J57" s="129"/>
      <c r="K57" s="130"/>
    </row>
    <row r="58" spans="1:16" s="107" customFormat="1" ht="16.5" thickBot="1" x14ac:dyDescent="0.3">
      <c r="A58" s="131"/>
      <c r="B58" s="132"/>
      <c r="C58" s="132"/>
      <c r="D58" s="132"/>
      <c r="E58" s="132"/>
      <c r="F58" s="132"/>
      <c r="G58" s="132"/>
      <c r="H58" s="132"/>
      <c r="I58" s="132"/>
      <c r="J58" s="132"/>
      <c r="K58" s="132"/>
    </row>
    <row r="59" spans="1:16" s="107" customFormat="1" ht="18.75" x14ac:dyDescent="0.3">
      <c r="A59" s="392" t="s">
        <v>206</v>
      </c>
      <c r="B59" s="393"/>
      <c r="C59" s="393"/>
      <c r="D59" s="393"/>
      <c r="E59" s="393"/>
      <c r="F59" s="393"/>
      <c r="G59" s="393"/>
      <c r="H59" s="393"/>
      <c r="I59" s="393"/>
      <c r="J59" s="393"/>
      <c r="K59" s="394"/>
    </row>
    <row r="60" spans="1:16" s="107" customFormat="1" ht="15.75" x14ac:dyDescent="0.25">
      <c r="A60" s="154"/>
      <c r="B60" s="397" t="s">
        <v>99</v>
      </c>
      <c r="C60" s="397"/>
      <c r="D60" s="397" t="s">
        <v>191</v>
      </c>
      <c r="E60" s="397"/>
      <c r="F60" s="397" t="s">
        <v>200</v>
      </c>
      <c r="G60" s="397"/>
      <c r="H60" s="397" t="s">
        <v>201</v>
      </c>
      <c r="I60" s="397"/>
      <c r="J60" s="397" t="s">
        <v>427</v>
      </c>
      <c r="K60" s="398"/>
    </row>
    <row r="61" spans="1:16" s="107" customFormat="1" ht="15.75" x14ac:dyDescent="0.25">
      <c r="A61" s="124" t="s">
        <v>179</v>
      </c>
      <c r="B61" s="405">
        <f>(IF(ISNA(VLOOKUP($A$1,'Financial Aid'!$A$5:$AV$51,10,FALSE))=TRUE,"DEPT not Found",VLOOKUP($A$1,'Financial Aid'!$A$5:$AV$51,10,FALSE))/1000)</f>
        <v>285.02199999999999</v>
      </c>
      <c r="C61" s="406"/>
      <c r="D61" s="405">
        <f>(IF(ISNA(VLOOKUP($A$1,'Financial Aid'!$A$5:$AV$51,18,FALSE))=TRUE,"DEPT not Found",VLOOKUP($A$1,'Financial Aid'!$A$5:$AV$51,18,FALSE))/1000)</f>
        <v>394.24200000000002</v>
      </c>
      <c r="E61" s="406"/>
      <c r="F61" s="405">
        <f>(IF(ISNA(VLOOKUP($A$1,'Financial Aid'!$A$5:$AV$51,26,FALSE))=TRUE,"DEPT not Found",VLOOKUP($A$1,'Financial Aid'!$A$5:$AV$51,26,FALSE))/1000)</f>
        <v>543.87699999999995</v>
      </c>
      <c r="G61" s="406"/>
      <c r="H61" s="405">
        <f>(IF(ISNA(VLOOKUP($A$1,'Financial Aid'!$A$5:$AV$51,34,FALSE))=TRUE,"DEPT not Found",VLOOKUP($A$1,'Financial Aid'!$A$5:$AV$51,34,FALSE))/1000)</f>
        <v>873.82168000000001</v>
      </c>
      <c r="I61" s="406"/>
      <c r="J61" s="395">
        <f>(IF(ISNA(VLOOKUP($A$1,'Financial Aid'!$A$5:$AV$51,42,FALSE))=TRUE,"DEPT not Found",VLOOKUP($A$1,'Financial Aid'!$A$5:$AV$51,42,FALSE))/1000)</f>
        <v>1018.1214000000002</v>
      </c>
      <c r="K61" s="396"/>
    </row>
    <row r="62" spans="1:16" s="107" customFormat="1" ht="15.75" x14ac:dyDescent="0.25">
      <c r="A62" s="155" t="s">
        <v>157</v>
      </c>
      <c r="B62" s="294">
        <f>(IF(ISNA(VLOOKUP($A$1,'Financial Aid'!$A$5:$AV$51,11,FALSE))=TRUE,"DEPT not Found",VLOOKUP($A$1,'Financial Aid'!$A$5:$AV$51,11,FALSE))/1000)</f>
        <v>65.748000000000005</v>
      </c>
      <c r="C62" s="135">
        <f>IF(ISNA(VLOOKUP($A$1,'Financial Aid'!$A$5:$AV$51,12,FALSE))=TRUE,"DEPT not Found",VLOOKUP($A$1,'Financial Aid'!$A$5:$AV$51,12,FALSE))</f>
        <v>0.23067693020187915</v>
      </c>
      <c r="D62" s="294">
        <f>(IF(ISNA(VLOOKUP($A$1,'Financial Aid'!$A$5:$AV$51,19,FALSE))=TRUE,"DEPT not Found",VLOOKUP($A$1,'Financial Aid'!$A$5:$AV$51,19,FALSE))/1000)</f>
        <v>36.606999999999999</v>
      </c>
      <c r="E62" s="135">
        <f>IF(ISNA(VLOOKUP($A$1,'Financial Aid'!$A$5:$AV$51,20,FALSE))=TRUE,"DEPT not Found",VLOOKUP($A$1,'Financial Aid'!$A$5:$AV$51,20,FALSE))</f>
        <v>9.2854135277316979E-2</v>
      </c>
      <c r="F62" s="294">
        <f>(IF(ISNA(VLOOKUP($A$1,'Financial Aid'!$A$5:$AV$51,27,FALSE))=TRUE,"DEPT not Found",VLOOKUP($A$1,'Financial Aid'!$A$5:$AV$51,27,FALSE))/1000)</f>
        <v>46.814999999999998</v>
      </c>
      <c r="G62" s="135">
        <f>IF(ISNA(VLOOKUP($A$1,'Financial Aid'!$A$5:$AV$51,28,FALSE))=TRUE,"DEPT not Found",VLOOKUP($A$1,'Financial Aid'!$A$5:$AV$51,28,FALSE))</f>
        <v>8.607644743204805E-2</v>
      </c>
      <c r="H62" s="294">
        <f>(IF(ISNA(VLOOKUP($A$1,'Financial Aid'!$A$5:$AV$51,35,FALSE))=TRUE,"DEPT not Found",VLOOKUP($A$1,'Financial Aid'!$A$5:$AV$51,35,FALSE))/1000)</f>
        <v>187.90199999999999</v>
      </c>
      <c r="I62" s="135">
        <f>IF(ISNA(VLOOKUP($A$1,'Financial Aid'!$A$5:$AV$51,36,FALSE))=TRUE,"DEPT not Found",VLOOKUP($A$1,'Financial Aid'!$A$5:$AV$51,36,FALSE))</f>
        <v>0.21503471966957835</v>
      </c>
      <c r="J62" s="296">
        <f>(IF(ISNA(VLOOKUP($A$1,'Financial Aid'!$A$5:$AV$51,43,FALSE))=TRUE,"DEPT not Found",VLOOKUP($A$1,'Financial Aid'!$A$5:$AV$51,43,FALSE))/1000)</f>
        <v>339.00960000000003</v>
      </c>
      <c r="K62" s="136">
        <f>IF(ISNA(VLOOKUP($A$1,'Financial Aid'!$A$5:$AV$51,44,FALSE))=TRUE,"DEPT not Found",VLOOKUP($A$1,'Financial Aid'!$A$5:$AV$51,44,FALSE))</f>
        <v>0.33297561567805173</v>
      </c>
    </row>
    <row r="63" spans="1:16" s="107" customFormat="1" ht="15.75" x14ac:dyDescent="0.25">
      <c r="A63" s="116" t="s">
        <v>156</v>
      </c>
      <c r="B63" s="294">
        <f>(IF(ISNA(VLOOKUP($A$1,'Financial Aid'!$A$5:$AV$51,13,FALSE))=TRUE,"DEPT not Found",VLOOKUP($A$1,'Financial Aid'!$A$5:$AV$51,13,FALSE))/1000)</f>
        <v>81.319999999999993</v>
      </c>
      <c r="C63" s="135">
        <f>IF(ISNA(VLOOKUP($A$1,'Financial Aid'!$A$5:$AV$51,14,FALSE))=TRUE,"DEPT not Found",VLOOKUP($A$1,'Financial Aid'!$A$5:$AV$51,14,FALSE))</f>
        <v>0.28531130930243981</v>
      </c>
      <c r="D63" s="294">
        <f>(IF(ISNA(VLOOKUP($A$1,'Financial Aid'!$A$5:$AV$51,21,FALSE))=TRUE,"DEPT not Found",VLOOKUP($A$1,'Financial Aid'!$A$5:$AV$51,21,FALSE))/1000)</f>
        <v>110.842</v>
      </c>
      <c r="E63" s="135">
        <f>IF(ISNA(VLOOKUP($A$1,'Financial Aid'!$A$5:$AV$51,22,FALSE))=TRUE,"DEPT not Found",VLOOKUP($A$1,'Financial Aid'!$A$5:$AV$51,22,FALSE))</f>
        <v>0.28115218571334361</v>
      </c>
      <c r="F63" s="294">
        <f>(IF(ISNA(VLOOKUP($A$1,'Financial Aid'!$A$5:$AV$51,29,FALSE))=TRUE,"DEPT not Found",VLOOKUP($A$1,'Financial Aid'!$A$5:$AV$51,29,FALSE))/1000)</f>
        <v>170.70400000000001</v>
      </c>
      <c r="G63" s="135">
        <f>IF(ISNA(VLOOKUP($A$1,'Financial Aid'!$A$5:$AV$51,30,FALSE))=TRUE,"DEPT not Found",VLOOKUP($A$1,'Financial Aid'!$A$5:$AV$51,30,FALSE))</f>
        <v>0.31386508346556297</v>
      </c>
      <c r="H63" s="294">
        <f>(IF(ISNA(VLOOKUP($A$1,'Financial Aid'!$A$5:$AV$51,37,FALSE))=TRUE,"DEPT not Found",VLOOKUP($A$1,'Financial Aid'!$A$5:$AV$51,37,FALSE))/1000)</f>
        <v>217.101</v>
      </c>
      <c r="I63" s="135">
        <f>IF(ISNA(VLOOKUP($A$1,'Financial Aid'!$A$5:$AV$51,38,FALSE))=TRUE,"DEPT not Found",VLOOKUP($A$1,'Financial Aid'!$A$5:$AV$51,38,FALSE))</f>
        <v>0.24845000412441126</v>
      </c>
      <c r="J63" s="296">
        <f>(IF(ISNA(VLOOKUP($A$1,'Financial Aid'!$A$5:$AV$51,45,FALSE))=TRUE,"DEPT not Found",VLOOKUP($A$1,'Financial Aid'!$A$5:$AV$51,45,FALSE))/1000)</f>
        <v>250.05159</v>
      </c>
      <c r="K63" s="136">
        <f>IF(ISNA(VLOOKUP($A$1,'Financial Aid'!$A$5:$AV$51,46,FALSE))=TRUE,"DEPT not Found",VLOOKUP($A$1,'Financial Aid'!$A$5:$AV$51,46,FALSE))</f>
        <v>0.24560095682106273</v>
      </c>
    </row>
    <row r="64" spans="1:16" s="107" customFormat="1" ht="15.75" x14ac:dyDescent="0.25">
      <c r="A64" s="116" t="s">
        <v>100</v>
      </c>
      <c r="B64" s="140">
        <f>IF(ISNA(VLOOKUP($A$1,'Financial Aid'!$A$5:$AV$51,15,FALSE))=TRUE,"DEPT not Found",VLOOKUP($A$1,'Financial Aid'!$A$5:$AV$51,15,FALSE))</f>
        <v>2</v>
      </c>
      <c r="C64" s="297">
        <f>(IF(ISNA(VLOOKUP($A$1,'Financial Aid'!$A$5:$AV$51,16,FALSE))=TRUE,"DEPT not Found",VLOOKUP($A$1,'Financial Aid'!$A$5:$AV$51,16,FALSE))/1000)</f>
        <v>8.8000000000000007</v>
      </c>
      <c r="D64" s="140">
        <f>IF(ISNA(VLOOKUP($A$1,'Financial Aid'!$A$5:$AV$51,23,FALSE))=TRUE,"DEPT not Found",VLOOKUP($A$1,'Financial Aid'!$A$5:$AV$51,23,FALSE))</f>
        <v>1</v>
      </c>
      <c r="E64" s="297">
        <f>(IF(ISNA(VLOOKUP($A$1,'Financial Aid'!$A$5:$AV$51,24,FALSE))=TRUE,"DEPT not Found",VLOOKUP($A$1,'Financial Aid'!$A$5:$AV$51,24,FALSE))/1000)</f>
        <v>1</v>
      </c>
      <c r="F64" s="140">
        <f>IF(ISNA(VLOOKUP($A$1,'Financial Aid'!$A$5:$AV$51,31,FALSE))=TRUE,"DEPT not Found",VLOOKUP($A$1,'Financial Aid'!$A$5:$AV$51,31,FALSE))</f>
        <v>4</v>
      </c>
      <c r="G64" s="297">
        <f>(IF(ISNA(VLOOKUP($A$1,'Financial Aid'!$A$5:$AV$51,32,FALSE))=TRUE,"DEPT not Found",VLOOKUP($A$1,'Financial Aid'!$A$5:$AV$51,32,FALSE))/1000)</f>
        <v>4.3129999999999997</v>
      </c>
      <c r="H64" s="140">
        <f>IF(ISNA(VLOOKUP($A$1,'Financial Aid'!$A$5:$AV$51,39,FALSE))=TRUE,"DEPT not Found",VLOOKUP($A$1,'Financial Aid'!$A$5:$AV$51,39,FALSE))</f>
        <v>0</v>
      </c>
      <c r="I64" s="297">
        <f>(IF(ISNA(VLOOKUP($A$1,'Financial Aid'!$A$5:$AV$51,40,FALSE))=TRUE,"DEPT not Found",VLOOKUP($A$1,'Financial Aid'!$A$5:$AV$51,40,FALSE))/1000)</f>
        <v>0</v>
      </c>
      <c r="J64" s="113">
        <f>IF(ISNA(VLOOKUP($A$1,'Financial Aid'!$A$5:$AV$51,47,FALSE))=TRUE,"DEPT not Found",VLOOKUP($A$1,'Financial Aid'!$A$5:$AV$51,47,FALSE))</f>
        <v>0</v>
      </c>
      <c r="K64" s="298">
        <f>(IF(ISNA(VLOOKUP($A$1,'Financial Aid'!$A$5:$AV$51,48,FALSE))=TRUE,"DEPT not Found",VLOOKUP($A$1,'Financial Aid'!$A$5:$AV$51,48,FALSE))/1000)</f>
        <v>0</v>
      </c>
    </row>
    <row r="65" spans="1:11" s="107" customFormat="1" ht="7.15" customHeight="1" thickBot="1" x14ac:dyDescent="0.3">
      <c r="A65" s="128"/>
      <c r="B65" s="129"/>
      <c r="C65" s="129"/>
      <c r="D65" s="129"/>
      <c r="E65" s="129"/>
      <c r="F65" s="129"/>
      <c r="G65" s="129"/>
      <c r="H65" s="129"/>
      <c r="I65" s="129"/>
      <c r="J65" s="129"/>
      <c r="K65" s="130"/>
    </row>
    <row r="66" spans="1:11" s="107" customFormat="1" ht="16.5" thickBot="1" x14ac:dyDescent="0.3"/>
    <row r="67" spans="1:11" s="107" customFormat="1" ht="18.75" x14ac:dyDescent="0.3">
      <c r="A67" s="389" t="s">
        <v>233</v>
      </c>
      <c r="B67" s="390"/>
      <c r="C67" s="390"/>
      <c r="D67" s="390"/>
      <c r="E67" s="390"/>
      <c r="F67" s="390"/>
      <c r="G67" s="390"/>
      <c r="H67" s="390"/>
      <c r="I67" s="390"/>
      <c r="J67" s="390"/>
      <c r="K67" s="391"/>
    </row>
    <row r="68" spans="1:11" s="107" customFormat="1" ht="15.75" x14ac:dyDescent="0.25">
      <c r="A68" s="108"/>
      <c r="B68" s="397" t="s">
        <v>52</v>
      </c>
      <c r="C68" s="397"/>
      <c r="D68" s="397" t="s">
        <v>53</v>
      </c>
      <c r="E68" s="397"/>
      <c r="F68" s="397" t="s">
        <v>198</v>
      </c>
      <c r="G68" s="397"/>
      <c r="H68" s="397" t="s">
        <v>199</v>
      </c>
      <c r="I68" s="397"/>
      <c r="J68" s="397" t="s">
        <v>415</v>
      </c>
      <c r="K68" s="398"/>
    </row>
    <row r="69" spans="1:11" s="107" customFormat="1" ht="15.75" x14ac:dyDescent="0.25">
      <c r="A69" s="124" t="s">
        <v>231</v>
      </c>
      <c r="B69" s="134"/>
      <c r="C69" s="114"/>
      <c r="D69" s="134"/>
      <c r="E69" s="114"/>
      <c r="F69" s="134"/>
      <c r="G69" s="114"/>
      <c r="H69" s="134"/>
      <c r="I69" s="114"/>
      <c r="J69" s="132"/>
      <c r="K69" s="115"/>
    </row>
    <row r="70" spans="1:11" s="107" customFormat="1" ht="15.75" x14ac:dyDescent="0.25">
      <c r="A70" s="116" t="s">
        <v>232</v>
      </c>
      <c r="B70" s="405"/>
      <c r="C70" s="406"/>
      <c r="D70" s="410">
        <f>(IF(ISNA(VLOOKUP($A$1,'Capital Equipment'!$A$5:$V$51,2,FALSE))=TRUE,"DEPT not Found",VLOOKUP($A$1,'Capital Equipment'!$A$5:$V$51,2,FALSE)))</f>
        <v>414</v>
      </c>
      <c r="E70" s="411"/>
      <c r="F70" s="410">
        <f>(IF(ISNA(VLOOKUP($A$1,'Capital Equipment'!$A$5:$V$51,6,FALSE))=TRUE,"DEPT not Found",VLOOKUP($A$1,'Capital Equipment'!$A$5:$V$51,6,FALSE)))</f>
        <v>459</v>
      </c>
      <c r="G70" s="411"/>
      <c r="H70" s="410">
        <f>(IF(ISNA(VLOOKUP($A$1,'Capital Equipment'!$A$5:$V$51,12,FALSE))=TRUE,"DEPT not Found",VLOOKUP($A$1,'Capital Equipment'!$A$5:$V$51,12,FALSE)))</f>
        <v>502</v>
      </c>
      <c r="I70" s="411"/>
      <c r="J70" s="399">
        <f>(IF(ISNA(VLOOKUP($A$1,'Capital Equipment'!$A$5:$V$51,18,FALSE))=TRUE,"DEPT not Found",VLOOKUP($A$1,'Capital Equipment'!$A$5:$V$51,18,FALSE)))</f>
        <v>644</v>
      </c>
      <c r="K70" s="400"/>
    </row>
    <row r="71" spans="1:11" s="107" customFormat="1" ht="15.75" x14ac:dyDescent="0.25">
      <c r="A71" s="116" t="s">
        <v>234</v>
      </c>
      <c r="B71" s="294"/>
      <c r="C71" s="135"/>
      <c r="D71" s="231"/>
      <c r="E71" s="234"/>
      <c r="F71" s="113">
        <f>(IF(ISNA(VLOOKUP($A$1,'Capital Equipment'!$A$5:$V$51,7,FALSE))=TRUE,"DEPT not Found",VLOOKUP($A$1,'Capital Equipment'!$A$5:$V$51,7,FALSE)))</f>
        <v>129</v>
      </c>
      <c r="G71" s="135">
        <f>(IF(ISNA(VLOOKUP($A$1,'Capital Equipment'!$A$5:$V$51,8,FALSE))=TRUE,"DEPT not Found",VLOOKUP($A$1,'Capital Equipment'!$A$5:$V$51,8,FALSE)))</f>
        <v>0.28104575163398693</v>
      </c>
      <c r="H71" s="140">
        <f>(IF(ISNA(VLOOKUP($A$1,'Capital Equipment'!$A$5:$V$51,13,FALSE))=TRUE,"DEPT not Found",VLOOKUP($A$1,'Capital Equipment'!$A$5:$V$51,13,FALSE)))</f>
        <v>128</v>
      </c>
      <c r="I71" s="135">
        <f>(IF(ISNA(VLOOKUP($A$1,'Capital Equipment'!$A$5:$V$51,14,FALSE))=TRUE,"DEPT not Found",VLOOKUP($A$1,'Capital Equipment'!$A$5:$V$51,14,FALSE)))</f>
        <v>0.2549800796812749</v>
      </c>
      <c r="J71" s="113">
        <f>(IF(ISNA(VLOOKUP($A$1,'Capital Equipment'!$A$5:$V$51,19,FALSE))=TRUE,"DEPT not Found",VLOOKUP($A$1,'Capital Equipment'!$A$5:$V$51,19,FALSE)))</f>
        <v>74</v>
      </c>
      <c r="K71" s="136">
        <f>(IF(ISNA(VLOOKUP($A$1,'Capital Equipment'!$A$5:$V$51,20,FALSE))=TRUE,"DEPT not Found",VLOOKUP($A$1,'Capital Equipment'!$A$5:$V$51,20,FALSE)))</f>
        <v>0.11490683229813664</v>
      </c>
    </row>
    <row r="72" spans="1:11" s="107" customFormat="1" ht="7.15" customHeight="1" x14ac:dyDescent="0.25">
      <c r="A72" s="137"/>
      <c r="B72" s="134"/>
      <c r="C72" s="114"/>
      <c r="D72" s="235"/>
      <c r="E72" s="236"/>
      <c r="F72" s="235"/>
      <c r="G72" s="236"/>
      <c r="H72" s="235"/>
      <c r="I72" s="236"/>
      <c r="J72" s="237"/>
      <c r="K72" s="238"/>
    </row>
    <row r="73" spans="1:11" s="107" customFormat="1" ht="15.75" x14ac:dyDescent="0.25">
      <c r="A73" s="124" t="s">
        <v>235</v>
      </c>
      <c r="B73" s="134"/>
      <c r="C73" s="114"/>
      <c r="D73" s="235"/>
      <c r="E73" s="236"/>
      <c r="F73" s="235"/>
      <c r="G73" s="236"/>
      <c r="H73" s="235"/>
      <c r="I73" s="236"/>
      <c r="J73" s="237"/>
      <c r="K73" s="238"/>
    </row>
    <row r="74" spans="1:11" s="107" customFormat="1" ht="15.75" customHeight="1" x14ac:dyDescent="0.25">
      <c r="A74" s="116" t="s">
        <v>236</v>
      </c>
      <c r="B74" s="405"/>
      <c r="C74" s="406"/>
      <c r="D74" s="231">
        <f>(IF(ISNA(VLOOKUP($A$1,'Capital Equipment'!$A$5:$V$51,3,FALSE))=TRUE,"DEPT not Found",VLOOKUP($A$1,'Capital Equipment'!$A$5:$V$51,3,FALSE)))</f>
        <v>0</v>
      </c>
      <c r="E74" s="232">
        <f>(IF(ISNA(VLOOKUP($A$1,'Capital Equipment'!$A$5:$V$51,4,FALSE))=TRUE,"DEPT not Found",VLOOKUP($A$1,'Capital Equipment'!$A$5:$V$51,4,FALSE)))</f>
        <v>0</v>
      </c>
      <c r="F74" s="231">
        <f>(IF(ISNA(VLOOKUP($A$1,'Capital Equipment'!$A$5:$V$51,9,FALSE))=TRUE,"DEPT not Found",VLOOKUP($A$1,'Capital Equipment'!$A$5:$V$51,9,FALSE)))</f>
        <v>0</v>
      </c>
      <c r="G74" s="232">
        <f>(IF(ISNA(VLOOKUP($A$1,'Capital Equipment'!$A$5:$V$51,10,FALSE))=TRUE,"DEPT not Found",VLOOKUP($A$1,'Capital Equipment'!$A$5:$V$51,10,FALSE)))</f>
        <v>0</v>
      </c>
      <c r="H74" s="293">
        <f>(IF(ISNA(VLOOKUP($A$1,'Capital Equipment'!$A$5:$V$51,15,FALSE))=TRUE,"DEPT not Found",VLOOKUP($A$1,'Capital Equipment'!$A$5:$V$51,15,FALSE)))</f>
        <v>0</v>
      </c>
      <c r="I74" s="232">
        <f>(IF(ISNA(VLOOKUP($A$1,'Capital Equipment'!$A$5:$V$51,16,FALSE))=TRUE,"DEPT not Found",VLOOKUP($A$1,'Capital Equipment'!$A$5:$V$51,16,FALSE)))</f>
        <v>0</v>
      </c>
      <c r="J74" s="231">
        <f>(IF(ISNA(VLOOKUP($A$1,'Capital Equipment'!$A$5:$V$51,21,FALSE))=TRUE,"DEPT not Found",VLOOKUP($A$1,'Capital Equipment'!$A$5:$V$51,21,FALSE)))</f>
        <v>0</v>
      </c>
      <c r="K74" s="233">
        <f>(IF(ISNA(VLOOKUP($A$1,'Capital Equipment'!$A$5:$V$51,22,FALSE))=TRUE,"DEPT not Found",VLOOKUP($A$1,'Capital Equipment'!$A$5:$V$51,22,FALSE)))</f>
        <v>0</v>
      </c>
    </row>
    <row r="75" spans="1:11" s="107" customFormat="1" ht="7.15" customHeight="1" thickBot="1" x14ac:dyDescent="0.3">
      <c r="A75" s="128"/>
      <c r="B75" s="129"/>
      <c r="C75" s="129"/>
      <c r="D75" s="129"/>
      <c r="E75" s="129"/>
      <c r="F75" s="129"/>
      <c r="G75" s="129"/>
      <c r="H75" s="129"/>
      <c r="I75" s="129"/>
      <c r="J75" s="129"/>
      <c r="K75" s="130"/>
    </row>
    <row r="76" spans="1:11" s="107" customFormat="1" ht="16.5" thickBot="1" x14ac:dyDescent="0.3"/>
    <row r="77" spans="1:11" s="107" customFormat="1" ht="18.75" x14ac:dyDescent="0.3">
      <c r="A77" s="392" t="s">
        <v>223</v>
      </c>
      <c r="B77" s="393"/>
      <c r="C77" s="393"/>
      <c r="D77" s="393"/>
      <c r="E77" s="393"/>
      <c r="F77" s="393"/>
      <c r="G77" s="393"/>
      <c r="H77" s="393"/>
      <c r="I77" s="393"/>
      <c r="J77" s="393"/>
      <c r="K77" s="394"/>
    </row>
    <row r="78" spans="1:11" s="107" customFormat="1" ht="15.75" x14ac:dyDescent="0.25">
      <c r="A78" s="154"/>
      <c r="B78" s="397" t="s">
        <v>52</v>
      </c>
      <c r="C78" s="397"/>
      <c r="D78" s="397" t="s">
        <v>53</v>
      </c>
      <c r="E78" s="397"/>
      <c r="F78" s="397" t="s">
        <v>198</v>
      </c>
      <c r="G78" s="397"/>
      <c r="H78" s="397" t="s">
        <v>199</v>
      </c>
      <c r="I78" s="397"/>
      <c r="J78" s="397" t="s">
        <v>415</v>
      </c>
      <c r="K78" s="398"/>
    </row>
    <row r="79" spans="1:11" s="107" customFormat="1" ht="15.75" x14ac:dyDescent="0.25">
      <c r="A79" s="162" t="s">
        <v>212</v>
      </c>
      <c r="B79" s="403" t="str">
        <f>IF(ISNA(VLOOKUP($A$1,'Certification Responses'!$A$5:$BK$51,3,FALSE))=TRUE,"DEPT not Found",VLOOKUP($A$1,'Certification Responses'!$A$5:$BK$51,3,FALSE))</f>
        <v>Y</v>
      </c>
      <c r="C79" s="404">
        <f>(IF(ISNA(VLOOKUP($A$1,'Gift Funds'!$A$5:$X$51,12,FALSE))=TRUE,"DEPT not Found",VLOOKUP($A$1,'Gift Funds'!$A$5:$X$51,12,FALSE))/1000)*-1</f>
        <v>-193.32572999999999</v>
      </c>
      <c r="D79" s="403" t="str">
        <f>IF(ISNA(VLOOKUP($A$1,'Certification Responses'!$A$5:$BK$51,4,FALSE))=TRUE,"DEPT not Found",VLOOKUP($A$1,'Certification Responses'!$A$5:$BK$51,4,FALSE))</f>
        <v>Y</v>
      </c>
      <c r="E79" s="404">
        <f>(IF(ISNA(VLOOKUP($A$1,'Gift Funds'!$A$5:$X$51,12,FALSE))=TRUE,"DEPT not Found",VLOOKUP($A$1,'Gift Funds'!$A$5:$X$51,12,FALSE))/1000)*-1</f>
        <v>-193.32572999999999</v>
      </c>
      <c r="F79" s="403" t="str">
        <f>IF(ISNA(VLOOKUP($A$1,'Certification Responses'!$A$5:$BK$51,5,FALSE))=TRUE,"DEPT not Found",VLOOKUP($A$1,'Certification Responses'!$A$5:$BK$51,5,FALSE))</f>
        <v>Y</v>
      </c>
      <c r="G79" s="404">
        <f>(IF(ISNA(VLOOKUP($A$1,'Gift Funds'!$A$5:$X$51,12,FALSE))=TRUE,"DEPT not Found",VLOOKUP($A$1,'Gift Funds'!$A$5:$X$51,12,FALSE))/1000)*-1</f>
        <v>-193.32572999999999</v>
      </c>
      <c r="H79" s="403" t="str">
        <f>IF(ISNA(VLOOKUP($A$1,'Certification Responses'!$A$5:$BK$51,6,FALSE))=TRUE,"DEPT not Found",VLOOKUP($A$1,'Certification Responses'!$A$5:$BK$51,6,FALSE))</f>
        <v>Y</v>
      </c>
      <c r="I79" s="404">
        <f>(IF(ISNA(VLOOKUP($A$1,'Gift Funds'!$A$5:$X$51,12,FALSE))=TRUE,"DEPT not Found",VLOOKUP($A$1,'Gift Funds'!$A$5:$X$51,12,FALSE))/1000)*-1</f>
        <v>-193.32572999999999</v>
      </c>
      <c r="J79" s="387" t="str">
        <f>IF(ISNA(VLOOKUP($A$1,'Certification Responses'!$A$5:$BN$51,7,FALSE))=TRUE,"DEPT not Found",VLOOKUP($A$1,'Certification Responses'!$A$5:$BN$51,7,FALSE))</f>
        <v>TBD</v>
      </c>
      <c r="K79" s="388">
        <f>(IF(ISNA(VLOOKUP($A$1,'Gift Funds'!$A$5:$X$51,12,FALSE))=TRUE,"DEPT not Found",VLOOKUP($A$1,'Gift Funds'!$A$5:$X$51,12,FALSE))/1000)*-1</f>
        <v>-193.32572999999999</v>
      </c>
    </row>
    <row r="80" spans="1:11" s="107" customFormat="1" ht="15.75" x14ac:dyDescent="0.25">
      <c r="A80" s="162" t="s">
        <v>214</v>
      </c>
      <c r="B80" s="403" t="str">
        <f>IF(ISNA(VLOOKUP($A$1,'Certification Responses'!$A$5:$BK$51,10,FALSE))=TRUE,"DEPT not Found",VLOOKUP($A$1,'Certification Responses'!$A$5:$BK$51,10,FALSE))</f>
        <v>Y</v>
      </c>
      <c r="C80" s="404">
        <f>(IF(ISNA(VLOOKUP($A$1,'Gift Funds'!$A$5:$X$51,12,FALSE))=TRUE,"DEPT not Found",VLOOKUP($A$1,'Gift Funds'!$A$5:$X$51,12,FALSE))/1000)*-1</f>
        <v>-193.32572999999999</v>
      </c>
      <c r="D80" s="403" t="str">
        <f>IF(ISNA(VLOOKUP($A$1,'Certification Responses'!$A$5:$BK$51,11,FALSE))=TRUE,"DEPT not Found",VLOOKUP($A$1,'Certification Responses'!$A$5:$BK$51,11,FALSE))</f>
        <v>*</v>
      </c>
      <c r="E80" s="404">
        <f>(IF(ISNA(VLOOKUP($A$1,'Gift Funds'!$A$5:$X$51,12,FALSE))=TRUE,"DEPT not Found",VLOOKUP($A$1,'Gift Funds'!$A$5:$X$51,12,FALSE))/1000)*-1</f>
        <v>-193.32572999999999</v>
      </c>
      <c r="F80" s="403" t="str">
        <f>IF(ISNA(VLOOKUP($A$1,'Certification Responses'!$A$5:$BK$51,12,FALSE))=TRUE,"DEPT not Found",VLOOKUP($A$1,'Certification Responses'!$A$5:$BK$51,12,FALSE))</f>
        <v>Y</v>
      </c>
      <c r="G80" s="404">
        <f>(IF(ISNA(VLOOKUP($A$1,'Gift Funds'!$A$5:$X$51,12,FALSE))=TRUE,"DEPT not Found",VLOOKUP($A$1,'Gift Funds'!$A$5:$X$51,12,FALSE))/1000)*-1</f>
        <v>-193.32572999999999</v>
      </c>
      <c r="H80" s="403" t="str">
        <f>IF(ISNA(VLOOKUP($A$1,'Certification Responses'!$A$5:$BK$51,13,FALSE))=TRUE,"DEPT not Found",VLOOKUP($A$1,'Certification Responses'!$A$5:$BK$51,13,FALSE))</f>
        <v>*</v>
      </c>
      <c r="I80" s="404">
        <f>(IF(ISNA(VLOOKUP($A$1,'Gift Funds'!$A$5:$X$51,12,FALSE))=TRUE,"DEPT not Found",VLOOKUP($A$1,'Gift Funds'!$A$5:$X$51,12,FALSE))/1000)*-1</f>
        <v>-193.32572999999999</v>
      </c>
      <c r="J80" s="387" t="str">
        <f>IF(ISNA(VLOOKUP($A$1,'Certification Responses'!$A$5:$BN$51,14,FALSE))=TRUE,"DEPT not Found",VLOOKUP($A$1,'Certification Responses'!$A$5:$BN$51,14,FALSE))</f>
        <v>*</v>
      </c>
      <c r="K80" s="388">
        <f>(IF(ISNA(VLOOKUP($A$1,'Gift Funds'!$A$5:$X$51,12,FALSE))=TRUE,"DEPT not Found",VLOOKUP($A$1,'Gift Funds'!$A$5:$X$51,12,FALSE))/1000)*-1</f>
        <v>-193.32572999999999</v>
      </c>
    </row>
    <row r="81" spans="1:11" s="107" customFormat="1" ht="15.75" x14ac:dyDescent="0.25">
      <c r="A81" s="162" t="s">
        <v>215</v>
      </c>
      <c r="B81" s="403" t="str">
        <f>IF(ISNA(VLOOKUP($A$1,'Certification Responses'!$A$5:$BK$51,17,FALSE))=TRUE,"DEPT not Found",VLOOKUP($A$1,'Certification Responses'!$A$5:$BK$51,17,FALSE))</f>
        <v>*</v>
      </c>
      <c r="C81" s="404">
        <f>(IF(ISNA(VLOOKUP($A$1,'Gift Funds'!$A$5:$X$51,12,FALSE))=TRUE,"DEPT not Found",VLOOKUP($A$1,'Gift Funds'!$A$5:$X$51,12,FALSE))/1000)*-1</f>
        <v>-193.32572999999999</v>
      </c>
      <c r="D81" s="403" t="str">
        <f>IF(ISNA(VLOOKUP($A$1,'Certification Responses'!$A$5:$BK$51,18,FALSE))=TRUE,"DEPT not Found",VLOOKUP($A$1,'Certification Responses'!$A$5:$BK$51,18,FALSE))</f>
        <v>Y</v>
      </c>
      <c r="E81" s="404">
        <f>(IF(ISNA(VLOOKUP($A$1,'Gift Funds'!$A$5:$X$51,12,FALSE))=TRUE,"DEPT not Found",VLOOKUP($A$1,'Gift Funds'!$A$5:$X$51,12,FALSE))/1000)*-1</f>
        <v>-193.32572999999999</v>
      </c>
      <c r="F81" s="403" t="str">
        <f>IF(ISNA(VLOOKUP($A$1,'Certification Responses'!$A$5:$BK$51,19,FALSE))=TRUE,"DEPT not Found",VLOOKUP($A$1,'Certification Responses'!$A$5:$BK$51,19,FALSE))</f>
        <v>*</v>
      </c>
      <c r="G81" s="404">
        <f>(IF(ISNA(VLOOKUP($A$1,'Gift Funds'!$A$5:$X$51,12,FALSE))=TRUE,"DEPT not Found",VLOOKUP($A$1,'Gift Funds'!$A$5:$X$51,12,FALSE))/1000)*-1</f>
        <v>-193.32572999999999</v>
      </c>
      <c r="H81" s="403" t="str">
        <f>IF(ISNA(VLOOKUP($A$1,'Certification Responses'!$A$5:$BK$51,20,FALSE))=TRUE,"DEPT not Found",VLOOKUP($A$1,'Certification Responses'!$A$5:$BK$51,20,FALSE))</f>
        <v>Y</v>
      </c>
      <c r="I81" s="404">
        <f>(IF(ISNA(VLOOKUP($A$1,'Gift Funds'!$A$5:$X$51,12,FALSE))=TRUE,"DEPT not Found",VLOOKUP($A$1,'Gift Funds'!$A$5:$X$51,12,FALSE))/1000)*-1</f>
        <v>-193.32572999999999</v>
      </c>
      <c r="J81" s="387" t="str">
        <f>IF(ISNA(VLOOKUP($A$1,'Certification Responses'!$A$5:$BN$51,21,FALSE))=TRUE,"DEPT not Found",VLOOKUP($A$1,'Certification Responses'!$A$5:$BN$51,21,FALSE))</f>
        <v>*</v>
      </c>
      <c r="K81" s="388">
        <f>(IF(ISNA(VLOOKUP($A$1,'Gift Funds'!$A$5:$X$51,12,FALSE))=TRUE,"DEPT not Found",VLOOKUP($A$1,'Gift Funds'!$A$5:$X$51,12,FALSE))/1000)*-1</f>
        <v>-193.32572999999999</v>
      </c>
    </row>
    <row r="82" spans="1:11" s="107" customFormat="1" ht="15.75" x14ac:dyDescent="0.25">
      <c r="A82" s="162" t="s">
        <v>217</v>
      </c>
      <c r="B82" s="403" t="str">
        <f>IF(ISNA(VLOOKUP($A$1,'Certification Responses'!$A$5:$BK$51,24,FALSE))=TRUE,"DEPT not Found",VLOOKUP($A$1,'Certification Responses'!$A$5:$BK$51,24,FALSE))</f>
        <v>Y</v>
      </c>
      <c r="C82" s="404">
        <f>(IF(ISNA(VLOOKUP($A$1,'Gift Funds'!$A$5:$X$51,12,FALSE))=TRUE,"DEPT not Found",VLOOKUP($A$1,'Gift Funds'!$A$5:$X$51,12,FALSE))/1000)*-1</f>
        <v>-193.32572999999999</v>
      </c>
      <c r="D82" s="403" t="str">
        <f>IF(ISNA(VLOOKUP($A$1,'Certification Responses'!$A$5:$BK$51,25,FALSE))=TRUE,"DEPT not Found",VLOOKUP($A$1,'Certification Responses'!$A$5:$BK$51,25,FALSE))</f>
        <v>Y</v>
      </c>
      <c r="E82" s="404">
        <f>(IF(ISNA(VLOOKUP($A$1,'Gift Funds'!$A$5:$X$51,12,FALSE))=TRUE,"DEPT not Found",VLOOKUP($A$1,'Gift Funds'!$A$5:$X$51,12,FALSE))/1000)*-1</f>
        <v>-193.32572999999999</v>
      </c>
      <c r="F82" s="403" t="str">
        <f>IF(ISNA(VLOOKUP($A$1,'Certification Responses'!$A$5:$BK$51,26,FALSE))=TRUE,"DEPT not Found",VLOOKUP($A$1,'Certification Responses'!$A$5:$BK$51,26,FALSE))</f>
        <v>Y</v>
      </c>
      <c r="G82" s="404">
        <f>(IF(ISNA(VLOOKUP($A$1,'Gift Funds'!$A$5:$X$51,12,FALSE))=TRUE,"DEPT not Found",VLOOKUP($A$1,'Gift Funds'!$A$5:$X$51,12,FALSE))/1000)*-1</f>
        <v>-193.32572999999999</v>
      </c>
      <c r="H82" s="403" t="str">
        <f>IF(ISNA(VLOOKUP($A$1,'Certification Responses'!$A$5:$BK$51,27,FALSE))=TRUE,"DEPT not Found",VLOOKUP($A$1,'Certification Responses'!$A$5:$BK$51,27,FALSE))</f>
        <v>Y</v>
      </c>
      <c r="I82" s="404">
        <f>(IF(ISNA(VLOOKUP($A$1,'Gift Funds'!$A$5:$X$51,12,FALSE))=TRUE,"DEPT not Found",VLOOKUP($A$1,'Gift Funds'!$A$5:$X$51,12,FALSE))/1000)*-1</f>
        <v>-193.32572999999999</v>
      </c>
      <c r="J82" s="387" t="str">
        <f>IF(ISNA(VLOOKUP($A$1,'Certification Responses'!$A$5:$BN$51,28,FALSE))=TRUE,"DEPT not Found",VLOOKUP($A$1,'Certification Responses'!$A$5:$BN$51,28,FALSE))</f>
        <v>*</v>
      </c>
      <c r="K82" s="388">
        <f>(IF(ISNA(VLOOKUP($A$1,'Gift Funds'!$A$5:$X$51,12,FALSE))=TRUE,"DEPT not Found",VLOOKUP($A$1,'Gift Funds'!$A$5:$X$51,12,FALSE))/1000)*-1</f>
        <v>-193.32572999999999</v>
      </c>
    </row>
    <row r="83" spans="1:11" s="107" customFormat="1" ht="15.75" x14ac:dyDescent="0.25">
      <c r="A83" s="162" t="s">
        <v>216</v>
      </c>
      <c r="B83" s="403" t="str">
        <f>IF(ISNA(VLOOKUP($A$1,'Certification Responses'!$A$5:$BK$51,31,FALSE))=TRUE,"DEPT not Found",VLOOKUP($A$1,'Certification Responses'!$A$5:$BK$51,31,FALSE))</f>
        <v>Y</v>
      </c>
      <c r="C83" s="404">
        <f>(IF(ISNA(VLOOKUP($A$1,'Gift Funds'!$A$5:$X$51,12,FALSE))=TRUE,"DEPT not Found",VLOOKUP($A$1,'Gift Funds'!$A$5:$X$51,12,FALSE))/1000)*-1</f>
        <v>-193.32572999999999</v>
      </c>
      <c r="D83" s="403" t="str">
        <f>IF(ISNA(VLOOKUP($A$1,'Certification Responses'!$A$5:$BK$51,32,FALSE))=TRUE,"DEPT not Found",VLOOKUP($A$1,'Certification Responses'!$A$5:$BK$51,32,FALSE))</f>
        <v>*</v>
      </c>
      <c r="E83" s="404">
        <f>(IF(ISNA(VLOOKUP($A$1,'Gift Funds'!$A$5:$X$51,12,FALSE))=TRUE,"DEPT not Found",VLOOKUP($A$1,'Gift Funds'!$A$5:$X$51,12,FALSE))/1000)*-1</f>
        <v>-193.32572999999999</v>
      </c>
      <c r="F83" s="403" t="str">
        <f>IF(ISNA(VLOOKUP($A$1,'Certification Responses'!$A$5:$BK$51,33,FALSE))=TRUE,"DEPT not Found",VLOOKUP($A$1,'Certification Responses'!$A$5:$BK$51,33,FALSE))</f>
        <v>Y</v>
      </c>
      <c r="G83" s="404">
        <f>(IF(ISNA(VLOOKUP($A$1,'Gift Funds'!$A$5:$X$51,12,FALSE))=TRUE,"DEPT not Found",VLOOKUP($A$1,'Gift Funds'!$A$5:$X$51,12,FALSE))/1000)*-1</f>
        <v>-193.32572999999999</v>
      </c>
      <c r="H83" s="403" t="str">
        <f>IF(ISNA(VLOOKUP($A$1,'Certification Responses'!$A$5:$BK$51,34,FALSE))=TRUE,"DEPT not Found",VLOOKUP($A$1,'Certification Responses'!$A$5:$BK$51,34,FALSE))</f>
        <v>*</v>
      </c>
      <c r="I83" s="404">
        <f>(IF(ISNA(VLOOKUP($A$1,'Gift Funds'!$A$5:$X$51,12,FALSE))=TRUE,"DEPT not Found",VLOOKUP($A$1,'Gift Funds'!$A$5:$X$51,12,FALSE))/1000)*-1</f>
        <v>-193.32572999999999</v>
      </c>
      <c r="J83" s="387" t="str">
        <f>IF(ISNA(VLOOKUP($A$1,'Certification Responses'!$A$5:$BN$51,35,FALSE))=TRUE,"DEPT not Found",VLOOKUP($A$1,'Certification Responses'!$A$5:$BN$51,35,FALSE))</f>
        <v>*</v>
      </c>
      <c r="K83" s="388">
        <f>(IF(ISNA(VLOOKUP($A$1,'Gift Funds'!$A$5:$X$51,12,FALSE))=TRUE,"DEPT not Found",VLOOKUP($A$1,'Gift Funds'!$A$5:$X$51,12,FALSE))/1000)*-1</f>
        <v>-193.32572999999999</v>
      </c>
    </row>
    <row r="84" spans="1:11" s="107" customFormat="1" ht="15.75" x14ac:dyDescent="0.25">
      <c r="A84" s="162" t="s">
        <v>218</v>
      </c>
      <c r="B84" s="403" t="str">
        <f>IF(ISNA(VLOOKUP($A$1,'Certification Responses'!$A$5:$BK$51,38,FALSE))=TRUE,"DEPT not Found",VLOOKUP($A$1,'Certification Responses'!$A$5:$BK$51,38,FALSE))</f>
        <v>Y</v>
      </c>
      <c r="C84" s="404">
        <f>(IF(ISNA(VLOOKUP($A$1,'Gift Funds'!$A$5:$X$51,12,FALSE))=TRUE,"DEPT not Found",VLOOKUP($A$1,'Gift Funds'!$A$5:$X$51,12,FALSE))/1000)*-1</f>
        <v>-193.32572999999999</v>
      </c>
      <c r="D84" s="403" t="str">
        <f>IF(ISNA(VLOOKUP($A$1,'Certification Responses'!$A$5:$BK$51,39,FALSE))=TRUE,"DEPT not Found",VLOOKUP($A$1,'Certification Responses'!$A$5:$BK$51,39,FALSE))</f>
        <v>Y</v>
      </c>
      <c r="E84" s="404">
        <f>(IF(ISNA(VLOOKUP($A$1,'Gift Funds'!$A$5:$X$51,12,FALSE))=TRUE,"DEPT not Found",VLOOKUP($A$1,'Gift Funds'!$A$5:$X$51,12,FALSE))/1000)*-1</f>
        <v>-193.32572999999999</v>
      </c>
      <c r="F84" s="403" t="str">
        <f>IF(ISNA(VLOOKUP($A$1,'Certification Responses'!$A$5:$BK$51,40,FALSE))=TRUE,"DEPT not Found",VLOOKUP($A$1,'Certification Responses'!$A$5:$BK$51,40,FALSE))</f>
        <v>*</v>
      </c>
      <c r="G84" s="404">
        <f>(IF(ISNA(VLOOKUP($A$1,'Gift Funds'!$A$5:$X$51,12,FALSE))=TRUE,"DEPT not Found",VLOOKUP($A$1,'Gift Funds'!$A$5:$X$51,12,FALSE))/1000)*-1</f>
        <v>-193.32572999999999</v>
      </c>
      <c r="H84" s="403" t="str">
        <f>IF(ISNA(VLOOKUP($A$1,'Certification Responses'!$A$5:$BK$51,41,FALSE))=TRUE,"DEPT not Found",VLOOKUP($A$1,'Certification Responses'!$A$5:$BK$51,41,FALSE))</f>
        <v>Y</v>
      </c>
      <c r="I84" s="404">
        <f>(IF(ISNA(VLOOKUP($A$1,'Gift Funds'!$A$5:$X$51,12,FALSE))=TRUE,"DEPT not Found",VLOOKUP($A$1,'Gift Funds'!$A$5:$X$51,12,FALSE))/1000)*-1</f>
        <v>-193.32572999999999</v>
      </c>
      <c r="J84" s="387" t="str">
        <f>IF(ISNA(VLOOKUP($A$1,'Certification Responses'!$A$5:$BN$51,42,FALSE))=TRUE,"DEPT not Found",VLOOKUP($A$1,'Certification Responses'!$A$5:$BN$51,42,FALSE))</f>
        <v>*</v>
      </c>
      <c r="K84" s="388">
        <f>(IF(ISNA(VLOOKUP($A$1,'Gift Funds'!$A$5:$X$51,12,FALSE))=TRUE,"DEPT not Found",VLOOKUP($A$1,'Gift Funds'!$A$5:$X$51,12,FALSE))/1000)*-1</f>
        <v>-193.32572999999999</v>
      </c>
    </row>
    <row r="85" spans="1:11" s="107" customFormat="1" ht="15.75" x14ac:dyDescent="0.25">
      <c r="A85" s="162" t="s">
        <v>224</v>
      </c>
      <c r="B85" s="403" t="str">
        <f>IF(ISNA(VLOOKUP($A$1,'Certification Responses'!$A$5:$BK$51,45,FALSE))=TRUE,"DEPT not Found",VLOOKUP($A$1,'Certification Responses'!$A$5:$BK$51,45,FALSE))</f>
        <v>P</v>
      </c>
      <c r="C85" s="404">
        <f>(IF(ISNA(VLOOKUP($A$1,'Gift Funds'!$A$5:$X$51,12,FALSE))=TRUE,"DEPT not Found",VLOOKUP($A$1,'Gift Funds'!$A$5:$X$51,12,FALSE))/1000)*-1</f>
        <v>-193.32572999999999</v>
      </c>
      <c r="D85" s="403" t="str">
        <f>IF(ISNA(VLOOKUP($A$1,'Certification Responses'!$A$5:$BK$51,46,FALSE))=TRUE,"DEPT not Found",VLOOKUP($A$1,'Certification Responses'!$A$5:$BK$51,46,FALSE))</f>
        <v>Y</v>
      </c>
      <c r="E85" s="404">
        <f>(IF(ISNA(VLOOKUP($A$1,'Gift Funds'!$A$5:$X$51,12,FALSE))=TRUE,"DEPT not Found",VLOOKUP($A$1,'Gift Funds'!$A$5:$X$51,12,FALSE))/1000)*-1</f>
        <v>-193.32572999999999</v>
      </c>
      <c r="F85" s="403" t="str">
        <f>IF(ISNA(VLOOKUP($A$1,'Certification Responses'!$A$5:$BK$51,47,FALSE))=TRUE,"DEPT not Found",VLOOKUP($A$1,'Certification Responses'!$A$5:$BK$51,47,FALSE))</f>
        <v>*</v>
      </c>
      <c r="G85" s="404">
        <f>(IF(ISNA(VLOOKUP($A$1,'Gift Funds'!$A$5:$X$51,12,FALSE))=TRUE,"DEPT not Found",VLOOKUP($A$1,'Gift Funds'!$A$5:$X$51,12,FALSE))/1000)*-1</f>
        <v>-193.32572999999999</v>
      </c>
      <c r="H85" s="403" t="str">
        <f>IF(ISNA(VLOOKUP($A$1,'Certification Responses'!$A$5:$BK$51,48,FALSE))=TRUE,"DEPT not Found",VLOOKUP($A$1,'Certification Responses'!$A$5:$BK$51,48,FALSE))</f>
        <v>Y</v>
      </c>
      <c r="I85" s="404">
        <f>(IF(ISNA(VLOOKUP($A$1,'Gift Funds'!$A$5:$X$51,12,FALSE))=TRUE,"DEPT not Found",VLOOKUP($A$1,'Gift Funds'!$A$5:$X$51,12,FALSE))/1000)*-1</f>
        <v>-193.32572999999999</v>
      </c>
      <c r="J85" s="387" t="str">
        <f>IF(ISNA(VLOOKUP($A$1,'Certification Responses'!$A$5:$BN$51,49,FALSE))=TRUE,"DEPT not Found",VLOOKUP($A$1,'Certification Responses'!$A$5:$BN$51,49,FALSE))</f>
        <v>*</v>
      </c>
      <c r="K85" s="388">
        <f>(IF(ISNA(VLOOKUP($A$1,'Gift Funds'!$A$5:$X$51,12,FALSE))=TRUE,"DEPT not Found",VLOOKUP($A$1,'Gift Funds'!$A$5:$X$51,12,FALSE))/1000)*-1</f>
        <v>-193.32572999999999</v>
      </c>
    </row>
    <row r="86" spans="1:11" s="107" customFormat="1" ht="15.75" x14ac:dyDescent="0.25">
      <c r="A86" s="162" t="s">
        <v>225</v>
      </c>
      <c r="B86" s="403" t="str">
        <f>IF(ISNA(VLOOKUP($A$1,'Certification Responses'!$A$5:$BK$51,52,FALSE))=TRUE,"DEPT not Found",VLOOKUP($A$1,'Certification Responses'!$A$5:$BK$51,52,FALSE))</f>
        <v>Y</v>
      </c>
      <c r="C86" s="404">
        <f>(IF(ISNA(VLOOKUP($A$1,'Gift Funds'!$A$5:$X$51,12,FALSE))=TRUE,"DEPT not Found",VLOOKUP($A$1,'Gift Funds'!$A$5:$X$51,12,FALSE))/1000)*-1</f>
        <v>-193.32572999999999</v>
      </c>
      <c r="D86" s="403" t="str">
        <f>IF(ISNA(VLOOKUP($A$1,'Certification Responses'!$A$5:$BK$51,53,FALSE))=TRUE,"DEPT not Found",VLOOKUP($A$1,'Certification Responses'!$A$5:$BK$51,53,FALSE))</f>
        <v>*</v>
      </c>
      <c r="E86" s="404">
        <f>(IF(ISNA(VLOOKUP($A$1,'Gift Funds'!$A$5:$X$51,12,FALSE))=TRUE,"DEPT not Found",VLOOKUP($A$1,'Gift Funds'!$A$5:$X$51,12,FALSE))/1000)*-1</f>
        <v>-193.32572999999999</v>
      </c>
      <c r="F86" s="403" t="str">
        <f>IF(ISNA(VLOOKUP($A$1,'Certification Responses'!$A$5:$BK$51,54,FALSE))=TRUE,"DEPT not Found",VLOOKUP($A$1,'Certification Responses'!$A$5:$BK$51,54,FALSE))</f>
        <v>N/A</v>
      </c>
      <c r="G86" s="404">
        <f>(IF(ISNA(VLOOKUP($A$1,'Gift Funds'!$A$5:$X$51,12,FALSE))=TRUE,"DEPT not Found",VLOOKUP($A$1,'Gift Funds'!$A$5:$X$51,12,FALSE))/1000)*-1</f>
        <v>-193.32572999999999</v>
      </c>
      <c r="H86" s="403" t="str">
        <f>IF(ISNA(VLOOKUP($A$1,'Certification Responses'!$A$5:$BK$51,55,FALSE))=TRUE,"DEPT not Found",VLOOKUP($A$1,'Certification Responses'!$A$5:$BK$51,55,FALSE))</f>
        <v>*</v>
      </c>
      <c r="I86" s="404">
        <f>(IF(ISNA(VLOOKUP($A$1,'Gift Funds'!$A$5:$X$51,12,FALSE))=TRUE,"DEPT not Found",VLOOKUP($A$1,'Gift Funds'!$A$5:$X$51,12,FALSE))/1000)*-1</f>
        <v>-193.32572999999999</v>
      </c>
      <c r="J86" s="387" t="str">
        <f>IF(ISNA(VLOOKUP($A$1,'Certification Responses'!$A$5:$BN$51,56,FALSE))=TRUE,"DEPT not Found",VLOOKUP($A$1,'Certification Responses'!$A$5:$BN$51,56,FALSE))</f>
        <v>*</v>
      </c>
      <c r="K86" s="388">
        <f>(IF(ISNA(VLOOKUP($A$1,'Gift Funds'!$A$5:$X$51,12,FALSE))=TRUE,"DEPT not Found",VLOOKUP($A$1,'Gift Funds'!$A$5:$X$51,12,FALSE))/1000)*-1</f>
        <v>-193.32572999999999</v>
      </c>
    </row>
    <row r="87" spans="1:11" s="107" customFormat="1" ht="15.75" x14ac:dyDescent="0.25">
      <c r="A87" s="162" t="s">
        <v>221</v>
      </c>
      <c r="B87" s="403" t="str">
        <f>IF(ISNA(VLOOKUP($A$1,'Certification Responses'!$A$5:$BK$51,59,FALSE))=TRUE,"DEPT not Found",VLOOKUP($A$1,'Certification Responses'!$A$5:$BK$51,59,FALSE))</f>
        <v>Y</v>
      </c>
      <c r="C87" s="404">
        <f>(IF(ISNA(VLOOKUP($A$1,'Gift Funds'!$A$5:$X$51,12,FALSE))=TRUE,"DEPT not Found",VLOOKUP($A$1,'Gift Funds'!$A$5:$X$51,12,FALSE))/1000)*-1</f>
        <v>-193.32572999999999</v>
      </c>
      <c r="D87" s="403" t="str">
        <f>IF(ISNA(VLOOKUP($A$1,'Certification Responses'!$A$5:$BK$51,60,FALSE))=TRUE,"DEPT not Found",VLOOKUP($A$1,'Certification Responses'!$A$5:$BK$51,60,FALSE))</f>
        <v>Y</v>
      </c>
      <c r="E87" s="404">
        <f>(IF(ISNA(VLOOKUP($A$1,'Gift Funds'!$A$5:$X$51,12,FALSE))=TRUE,"DEPT not Found",VLOOKUP($A$1,'Gift Funds'!$A$5:$X$51,12,FALSE))/1000)*-1</f>
        <v>-193.32572999999999</v>
      </c>
      <c r="F87" s="403" t="str">
        <f>IF(ISNA(VLOOKUP($A$1,'Certification Responses'!$A$5:$BK$51,61,FALSE))=TRUE,"DEPT not Found",VLOOKUP($A$1,'Certification Responses'!$A$5:$BK$51,61,FALSE))</f>
        <v>*</v>
      </c>
      <c r="G87" s="404">
        <f>(IF(ISNA(VLOOKUP($A$1,'Gift Funds'!$A$5:$X$51,12,FALSE))=TRUE,"DEPT not Found",VLOOKUP($A$1,'Gift Funds'!$A$5:$X$51,12,FALSE))/1000)*-1</f>
        <v>-193.32572999999999</v>
      </c>
      <c r="H87" s="403" t="str">
        <f>IF(ISNA(VLOOKUP($A$1,'Certification Responses'!$A$5:$BK$51,62,FALSE))=TRUE,"DEPT not Found",VLOOKUP($A$1,'Certification Responses'!$A$5:$BK$51,62,FALSE))</f>
        <v>Y</v>
      </c>
      <c r="I87" s="404">
        <f>(IF(ISNA(VLOOKUP($A$1,'Gift Funds'!$A$5:$X$51,12,FALSE))=TRUE,"DEPT not Found",VLOOKUP($A$1,'Gift Funds'!$A$5:$X$51,12,FALSE))/1000)*-1</f>
        <v>-193.32572999999999</v>
      </c>
      <c r="J87" s="387" t="str">
        <f>IF(ISNA(VLOOKUP($A$1,'Certification Responses'!$A$5:$BN$51,63,FALSE))=TRUE,"DEPT not Found",VLOOKUP($A$1,'Certification Responses'!$A$5:$BN$51,63,FALSE))</f>
        <v>*</v>
      </c>
      <c r="K87" s="388">
        <f>(IF(ISNA(VLOOKUP($A$1,'Gift Funds'!$A$5:$X$51,12,FALSE))=TRUE,"DEPT not Found",VLOOKUP($A$1,'Gift Funds'!$A$5:$X$51,12,FALSE))/1000)*-1</f>
        <v>-193.32572999999999</v>
      </c>
    </row>
    <row r="88" spans="1:11" s="107" customFormat="1" ht="15.75" x14ac:dyDescent="0.25">
      <c r="A88" s="162" t="s">
        <v>226</v>
      </c>
      <c r="B88" s="403"/>
      <c r="C88" s="404"/>
      <c r="D88" s="403"/>
      <c r="E88" s="404"/>
      <c r="F88" s="403"/>
      <c r="G88" s="404"/>
      <c r="H88" s="403" t="str">
        <f>IF(ISNA(VLOOKUP($A$1,'Certification Responses'!$A$5:$BN$51,65,FALSE))=TRUE,"DEPT not Found",VLOOKUP($A$1,'Certification Responses'!$A$5:$BN$51,65,FALSE))</f>
        <v>Y</v>
      </c>
      <c r="I88" s="404">
        <f>(IF(ISNA(VLOOKUP($A$1,'Gift Funds'!$A$5:$X$51,12,FALSE))=TRUE,"DEPT not Found",VLOOKUP($A$1,'Gift Funds'!$A$5:$X$51,12,FALSE))/1000)*-1</f>
        <v>-193.32572999999999</v>
      </c>
      <c r="J88" s="387" t="str">
        <f>IF(ISNA(VLOOKUP($A$1,'Certification Responses'!$A$5:$BN$51,66,FALSE))=TRUE,"DEPT not Found",VLOOKUP($A$1,'Certification Responses'!$A$5:$BN$51,66,FALSE))</f>
        <v>*</v>
      </c>
      <c r="K88" s="388">
        <f>(IF(ISNA(VLOOKUP($A$1,'Gift Funds'!$A$5:$X$51,12,FALSE))=TRUE,"DEPT not Found",VLOOKUP($A$1,'Gift Funds'!$A$5:$X$51,12,FALSE))/1000)*-1</f>
        <v>-193.32572999999999</v>
      </c>
    </row>
    <row r="89" spans="1:11" s="107" customFormat="1" ht="7.15" customHeight="1" thickBot="1" x14ac:dyDescent="0.3">
      <c r="A89" s="128"/>
      <c r="B89" s="129"/>
      <c r="C89" s="129"/>
      <c r="D89" s="129"/>
      <c r="E89" s="129"/>
      <c r="F89" s="129"/>
      <c r="G89" s="129"/>
      <c r="H89" s="129"/>
      <c r="I89" s="129"/>
      <c r="J89" s="129"/>
      <c r="K89" s="130"/>
    </row>
    <row r="90" spans="1:11" s="107" customFormat="1" ht="15.75" x14ac:dyDescent="0.25">
      <c r="A90" s="107" t="s">
        <v>312</v>
      </c>
    </row>
    <row r="91" spans="1:11" s="107" customFormat="1" ht="5.25" customHeight="1" x14ac:dyDescent="0.25"/>
    <row r="92" spans="1:11" s="175" customFormat="1" ht="15" customHeight="1" x14ac:dyDescent="0.25">
      <c r="A92" s="271" t="s">
        <v>350</v>
      </c>
      <c r="B92" s="242"/>
      <c r="C92" s="242"/>
      <c r="E92" s="242"/>
      <c r="F92" s="242"/>
      <c r="G92" s="242"/>
      <c r="H92" s="242"/>
      <c r="J92" s="242"/>
    </row>
    <row r="93" spans="1:11" s="175" customFormat="1" ht="15" hidden="1" customHeight="1" x14ac:dyDescent="0.25">
      <c r="A93" s="272" t="s">
        <v>353</v>
      </c>
      <c r="B93" s="242"/>
      <c r="C93" s="242"/>
      <c r="E93" s="242"/>
      <c r="F93" s="242"/>
      <c r="G93" s="242"/>
      <c r="H93" s="242"/>
      <c r="J93" s="242"/>
    </row>
    <row r="94" spans="1:11" s="175" customFormat="1" ht="15" hidden="1" customHeight="1" x14ac:dyDescent="0.25">
      <c r="A94" s="272" t="s">
        <v>351</v>
      </c>
      <c r="B94" s="242"/>
      <c r="C94" s="242"/>
      <c r="E94" s="242"/>
      <c r="F94" s="242"/>
      <c r="G94" s="242"/>
      <c r="H94" s="242"/>
      <c r="J94" s="242"/>
    </row>
    <row r="95" spans="1:11" s="175" customFormat="1" ht="15" customHeight="1" x14ac:dyDescent="0.25">
      <c r="A95" s="272" t="s">
        <v>354</v>
      </c>
      <c r="B95" s="242"/>
      <c r="C95" s="242"/>
      <c r="E95" s="242"/>
      <c r="F95" s="242"/>
      <c r="G95" s="242"/>
      <c r="H95" s="242"/>
      <c r="J95" s="242"/>
    </row>
    <row r="96" spans="1:11" s="175" customFormat="1" ht="15" customHeight="1" x14ac:dyDescent="0.25">
      <c r="A96" s="272" t="s">
        <v>380</v>
      </c>
      <c r="B96" s="242"/>
      <c r="C96" s="242"/>
      <c r="E96" s="242"/>
      <c r="F96" s="242"/>
      <c r="G96" s="242"/>
      <c r="H96" s="242"/>
      <c r="J96" s="242"/>
    </row>
    <row r="97" spans="1:10" s="175" customFormat="1" ht="15" customHeight="1" x14ac:dyDescent="0.25">
      <c r="A97" s="272" t="s">
        <v>381</v>
      </c>
      <c r="B97" s="242"/>
      <c r="C97" s="242"/>
      <c r="E97" s="242"/>
      <c r="F97" s="242"/>
      <c r="G97" s="242"/>
      <c r="H97" s="242"/>
      <c r="J97" s="242"/>
    </row>
    <row r="98" spans="1:10" s="175" customFormat="1" ht="15" customHeight="1" x14ac:dyDescent="0.25">
      <c r="A98" s="272" t="s">
        <v>352</v>
      </c>
      <c r="B98" s="242"/>
      <c r="C98" s="242"/>
      <c r="E98" s="242"/>
      <c r="F98" s="242"/>
      <c r="G98" s="242"/>
      <c r="H98" s="242"/>
      <c r="J98" s="242"/>
    </row>
  </sheetData>
  <mergeCells count="124">
    <mergeCell ref="B70:C70"/>
    <mergeCell ref="D70:E70"/>
    <mergeCell ref="F70:G70"/>
    <mergeCell ref="H70:I70"/>
    <mergeCell ref="B74:C74"/>
    <mergeCell ref="F86:G86"/>
    <mergeCell ref="H81:I81"/>
    <mergeCell ref="H82:I82"/>
    <mergeCell ref="H83:I83"/>
    <mergeCell ref="H84:I84"/>
    <mergeCell ref="H85:I85"/>
    <mergeCell ref="H86:I86"/>
    <mergeCell ref="F81:G81"/>
    <mergeCell ref="F82:G82"/>
    <mergeCell ref="F83:G83"/>
    <mergeCell ref="F84:G84"/>
    <mergeCell ref="F85:G85"/>
    <mergeCell ref="B85:C85"/>
    <mergeCell ref="B86:C86"/>
    <mergeCell ref="D81:E81"/>
    <mergeCell ref="D82:E82"/>
    <mergeCell ref="B82:C82"/>
    <mergeCell ref="B83:C83"/>
    <mergeCell ref="B84:C84"/>
    <mergeCell ref="D83:E83"/>
    <mergeCell ref="D84:E84"/>
    <mergeCell ref="D85:E85"/>
    <mergeCell ref="D86:E86"/>
    <mergeCell ref="B87:C87"/>
    <mergeCell ref="D87:E87"/>
    <mergeCell ref="H79:I79"/>
    <mergeCell ref="B80:C80"/>
    <mergeCell ref="D80:E80"/>
    <mergeCell ref="F80:G80"/>
    <mergeCell ref="H80:I80"/>
    <mergeCell ref="B79:C79"/>
    <mergeCell ref="D79:E79"/>
    <mergeCell ref="F79:G79"/>
    <mergeCell ref="B81:C81"/>
    <mergeCell ref="F87:G87"/>
    <mergeCell ref="H87:I87"/>
    <mergeCell ref="A2:K2"/>
    <mergeCell ref="H61:I61"/>
    <mergeCell ref="D60:E60"/>
    <mergeCell ref="D61:E61"/>
    <mergeCell ref="F60:G60"/>
    <mergeCell ref="F61:G61"/>
    <mergeCell ref="B68:C68"/>
    <mergeCell ref="D68:E68"/>
    <mergeCell ref="F68:G68"/>
    <mergeCell ref="H68:I68"/>
    <mergeCell ref="D39:E39"/>
    <mergeCell ref="F39:G39"/>
    <mergeCell ref="B5:C5"/>
    <mergeCell ref="H5:I5"/>
    <mergeCell ref="D5:E5"/>
    <mergeCell ref="F5:G5"/>
    <mergeCell ref="D22:E22"/>
    <mergeCell ref="D12:E12"/>
    <mergeCell ref="B12:C12"/>
    <mergeCell ref="H12:I12"/>
    <mergeCell ref="F12:G12"/>
    <mergeCell ref="F22:G22"/>
    <mergeCell ref="B7:C7"/>
    <mergeCell ref="H7:I7"/>
    <mergeCell ref="F7:G7"/>
    <mergeCell ref="D7:E7"/>
    <mergeCell ref="H55:I55"/>
    <mergeCell ref="F54:G54"/>
    <mergeCell ref="F55:G55"/>
    <mergeCell ref="D54:E54"/>
    <mergeCell ref="D55:E55"/>
    <mergeCell ref="B40:C40"/>
    <mergeCell ref="D40:E40"/>
    <mergeCell ref="F40:G40"/>
    <mergeCell ref="H40:I40"/>
    <mergeCell ref="J22:K22"/>
    <mergeCell ref="J39:K39"/>
    <mergeCell ref="J40:K40"/>
    <mergeCell ref="J54:K54"/>
    <mergeCell ref="J55:K55"/>
    <mergeCell ref="J60:K60"/>
    <mergeCell ref="B88:C88"/>
    <mergeCell ref="D88:E88"/>
    <mergeCell ref="F88:G88"/>
    <mergeCell ref="H88:I88"/>
    <mergeCell ref="B39:C39"/>
    <mergeCell ref="H39:I39"/>
    <mergeCell ref="B78:C78"/>
    <mergeCell ref="D78:E78"/>
    <mergeCell ref="F78:G78"/>
    <mergeCell ref="H78:I78"/>
    <mergeCell ref="B60:C60"/>
    <mergeCell ref="H60:I60"/>
    <mergeCell ref="B61:C61"/>
    <mergeCell ref="B54:C54"/>
    <mergeCell ref="H54:I54"/>
    <mergeCell ref="B55:C55"/>
    <mergeCell ref="B22:C22"/>
    <mergeCell ref="H22:I22"/>
    <mergeCell ref="J83:K83"/>
    <mergeCell ref="J84:K84"/>
    <mergeCell ref="J85:K85"/>
    <mergeCell ref="J86:K86"/>
    <mergeCell ref="J87:K87"/>
    <mergeCell ref="J88:K88"/>
    <mergeCell ref="A4:K4"/>
    <mergeCell ref="A21:K21"/>
    <mergeCell ref="A38:K38"/>
    <mergeCell ref="A53:K53"/>
    <mergeCell ref="A59:K59"/>
    <mergeCell ref="A67:K67"/>
    <mergeCell ref="A77:K77"/>
    <mergeCell ref="J61:K61"/>
    <mergeCell ref="J68:K68"/>
    <mergeCell ref="J70:K70"/>
    <mergeCell ref="J78:K78"/>
    <mergeCell ref="J79:K79"/>
    <mergeCell ref="J80:K80"/>
    <mergeCell ref="J81:K81"/>
    <mergeCell ref="J82:K82"/>
    <mergeCell ref="J5:K5"/>
    <mergeCell ref="J7:K7"/>
    <mergeCell ref="J12:K12"/>
  </mergeCells>
  <conditionalFormatting sqref="I44">
    <cfRule type="cellIs" dxfId="758" priority="160" operator="lessThan">
      <formula>4.3%</formula>
    </cfRule>
    <cfRule type="cellIs" dxfId="757" priority="161" operator="greaterThan">
      <formula>7.3%</formula>
    </cfRule>
    <cfRule type="cellIs" dxfId="756" priority="162" operator="between">
      <formula>0.043</formula>
      <formula>0.073</formula>
    </cfRule>
  </conditionalFormatting>
  <conditionalFormatting sqref="I45">
    <cfRule type="cellIs" dxfId="755" priority="157" operator="between">
      <formula>0.019</formula>
      <formula>0.029</formula>
    </cfRule>
    <cfRule type="cellIs" dxfId="754" priority="158" operator="lessThan">
      <formula>0.019</formula>
    </cfRule>
    <cfRule type="cellIs" dxfId="753" priority="159" operator="greaterThan">
      <formula>0.029</formula>
    </cfRule>
  </conditionalFormatting>
  <conditionalFormatting sqref="C44">
    <cfRule type="cellIs" dxfId="752" priority="151" operator="lessThan">
      <formula>0.056</formula>
    </cfRule>
    <cfRule type="cellIs" dxfId="751" priority="152" operator="between">
      <formula>0.056</formula>
      <formula>0.116</formula>
    </cfRule>
    <cfRule type="cellIs" dxfId="750" priority="153" operator="greaterThan">
      <formula>0.116</formula>
    </cfRule>
  </conditionalFormatting>
  <conditionalFormatting sqref="C45">
    <cfRule type="cellIs" dxfId="749" priority="148" operator="between">
      <formula>0.024</formula>
      <formula>0.034</formula>
    </cfRule>
    <cfRule type="cellIs" dxfId="748" priority="149" operator="lessThan">
      <formula>0.024</formula>
    </cfRule>
    <cfRule type="cellIs" dxfId="747" priority="150" operator="greaterThan">
      <formula>0.034</formula>
    </cfRule>
  </conditionalFormatting>
  <conditionalFormatting sqref="E44">
    <cfRule type="cellIs" dxfId="746" priority="112" operator="lessThan">
      <formula>0.062</formula>
    </cfRule>
    <cfRule type="cellIs" dxfId="745" priority="113" operator="between">
      <formula>0.062</formula>
      <formula>0.102</formula>
    </cfRule>
    <cfRule type="cellIs" dxfId="744" priority="114" operator="greaterThan">
      <formula>0.102</formula>
    </cfRule>
  </conditionalFormatting>
  <conditionalFormatting sqref="E45">
    <cfRule type="cellIs" dxfId="743" priority="109" operator="between">
      <formula>0.016</formula>
      <formula>0.026</formula>
    </cfRule>
    <cfRule type="cellIs" dxfId="742" priority="110" operator="lessThan">
      <formula>0.016</formula>
    </cfRule>
    <cfRule type="cellIs" dxfId="741" priority="111" operator="greaterThan">
      <formula>0.026</formula>
    </cfRule>
  </conditionalFormatting>
  <conditionalFormatting sqref="G44">
    <cfRule type="cellIs" dxfId="740" priority="103" operator="lessThan">
      <formula>0.055</formula>
    </cfRule>
    <cfRule type="cellIs" dxfId="739" priority="104" operator="between">
      <formula>0.055</formula>
      <formula>0.085</formula>
    </cfRule>
    <cfRule type="cellIs" dxfId="738" priority="105" operator="greaterThan">
      <formula>0.085</formula>
    </cfRule>
  </conditionalFormatting>
  <conditionalFormatting sqref="G45">
    <cfRule type="cellIs" dxfId="737" priority="100" operator="between">
      <formula>0.012</formula>
      <formula>0.022</formula>
    </cfRule>
    <cfRule type="cellIs" dxfId="736" priority="101" operator="lessThan">
      <formula>0.012</formula>
    </cfRule>
    <cfRule type="cellIs" dxfId="735" priority="102" operator="greaterThan">
      <formula>0.022</formula>
    </cfRule>
  </conditionalFormatting>
  <conditionalFormatting sqref="I9">
    <cfRule type="cellIs" dxfId="734" priority="85" operator="between">
      <formula>0.009</formula>
      <formula>0.015</formula>
    </cfRule>
    <cfRule type="cellIs" dxfId="733" priority="86" operator="lessThan">
      <formula>0.009</formula>
    </cfRule>
    <cfRule type="cellIs" dxfId="732" priority="87" operator="greaterThan">
      <formula>0.015</formula>
    </cfRule>
  </conditionalFormatting>
  <conditionalFormatting sqref="C49 E49 G49 I49 C27 E27 G27 I27 C35 E35 G35 I35">
    <cfRule type="cellIs" dxfId="731" priority="70" operator="between">
      <formula>0.5</formula>
      <formula>0.75</formula>
    </cfRule>
    <cfRule type="cellIs" dxfId="730" priority="71" operator="lessThan">
      <formula>0.5</formula>
    </cfRule>
    <cfRule type="cellIs" dxfId="729" priority="72" operator="greaterThan">
      <formula>0.75</formula>
    </cfRule>
  </conditionalFormatting>
  <conditionalFormatting sqref="C9">
    <cfRule type="cellIs" dxfId="728" priority="67" operator="lessThan">
      <formula>0.009</formula>
    </cfRule>
    <cfRule type="cellIs" dxfId="727" priority="68" operator="greaterThan">
      <formula>0.013</formula>
    </cfRule>
    <cfRule type="cellIs" dxfId="726" priority="69" operator="between">
      <formula>0.009</formula>
      <formula>0.013</formula>
    </cfRule>
  </conditionalFormatting>
  <conditionalFormatting sqref="E9">
    <cfRule type="cellIs" dxfId="725" priority="64" operator="lessThan">
      <formula>0.009</formula>
    </cfRule>
    <cfRule type="cellIs" dxfId="724" priority="65" operator="greaterThan">
      <formula>0.015</formula>
    </cfRule>
    <cfRule type="cellIs" dxfId="723" priority="66" operator="between">
      <formula>0.009</formula>
      <formula>0.015</formula>
    </cfRule>
  </conditionalFormatting>
  <conditionalFormatting sqref="G9">
    <cfRule type="cellIs" dxfId="722" priority="61" operator="lessThan">
      <formula>0.007</formula>
    </cfRule>
    <cfRule type="cellIs" dxfId="721" priority="62" operator="greaterThan">
      <formula>0.013</formula>
    </cfRule>
    <cfRule type="cellIs" dxfId="720" priority="63" operator="between">
      <formula>0.007</formula>
      <formula>0.013</formula>
    </cfRule>
  </conditionalFormatting>
  <conditionalFormatting sqref="C18 E18 G18 I18">
    <cfRule type="cellIs" dxfId="719" priority="40" operator="between">
      <formula>0.8</formula>
      <formula>0.899</formula>
    </cfRule>
    <cfRule type="cellIs" dxfId="718" priority="41" operator="greaterThan">
      <formula>0.899</formula>
    </cfRule>
    <cfRule type="cellIs" dxfId="717" priority="42" operator="lessThan">
      <formula>0.8</formula>
    </cfRule>
  </conditionalFormatting>
  <conditionalFormatting sqref="K18">
    <cfRule type="cellIs" dxfId="716" priority="10" operator="between">
      <formula>0.8</formula>
      <formula>0.899</formula>
    </cfRule>
    <cfRule type="cellIs" dxfId="715" priority="11" operator="greaterThan">
      <formula>0.899</formula>
    </cfRule>
    <cfRule type="cellIs" dxfId="714" priority="12" operator="lessThan">
      <formula>0.8</formula>
    </cfRule>
  </conditionalFormatting>
  <conditionalFormatting sqref="K44">
    <cfRule type="cellIs" dxfId="713" priority="22" operator="lessThan">
      <formula>2.5%</formula>
    </cfRule>
    <cfRule type="cellIs" dxfId="712" priority="23" operator="greaterThan">
      <formula>5.5%</formula>
    </cfRule>
    <cfRule type="cellIs" dxfId="711" priority="24" operator="between">
      <formula>0.025</formula>
      <formula>0.055</formula>
    </cfRule>
  </conditionalFormatting>
  <conditionalFormatting sqref="K45">
    <cfRule type="cellIs" dxfId="710" priority="19" operator="between">
      <formula>0.018</formula>
      <formula>0.028</formula>
    </cfRule>
    <cfRule type="cellIs" dxfId="709" priority="20" operator="lessThan">
      <formula>0.018</formula>
    </cfRule>
    <cfRule type="cellIs" dxfId="708" priority="21" operator="greaterThan">
      <formula>0.028</formula>
    </cfRule>
  </conditionalFormatting>
  <conditionalFormatting sqref="K9">
    <cfRule type="cellIs" dxfId="707" priority="16" operator="between">
      <formula>0.007</formula>
      <formula>0.013</formula>
    </cfRule>
    <cfRule type="cellIs" dxfId="706" priority="17" operator="lessThan">
      <formula>0.007</formula>
    </cfRule>
    <cfRule type="cellIs" dxfId="705" priority="18" operator="greaterThan">
      <formula>0.013</formula>
    </cfRule>
  </conditionalFormatting>
  <conditionalFormatting sqref="K49 K27 K35">
    <cfRule type="cellIs" dxfId="704" priority="13" operator="between">
      <formula>0.5</formula>
      <formula>0.75</formula>
    </cfRule>
    <cfRule type="cellIs" dxfId="703" priority="14" operator="lessThan">
      <formula>0.5</formula>
    </cfRule>
    <cfRule type="cellIs" dxfId="702" priority="15" operator="greaterThan">
      <formula>0.75</formula>
    </cfRule>
  </conditionalFormatting>
  <conditionalFormatting sqref="G14">
    <cfRule type="cellIs" dxfId="701" priority="7" operator="between">
      <formula>0.007</formula>
      <formula>0.015</formula>
    </cfRule>
    <cfRule type="cellIs" dxfId="700" priority="8" operator="lessThan">
      <formula>0.007</formula>
    </cfRule>
    <cfRule type="cellIs" dxfId="699" priority="9" operator="greaterThan">
      <formula>0.015</formula>
    </cfRule>
  </conditionalFormatting>
  <conditionalFormatting sqref="I14">
    <cfRule type="cellIs" dxfId="698" priority="4" operator="between">
      <formula>0.01</formula>
      <formula>0.016</formula>
    </cfRule>
    <cfRule type="cellIs" dxfId="697" priority="5" operator="lessThan">
      <formula>0.01</formula>
    </cfRule>
    <cfRule type="cellIs" dxfId="696" priority="6" operator="greaterThan">
      <formula>0.016</formula>
    </cfRule>
  </conditionalFormatting>
  <conditionalFormatting sqref="K14">
    <cfRule type="cellIs" dxfId="695" priority="1" operator="between">
      <formula>0.008</formula>
      <formula>0.014</formula>
    </cfRule>
    <cfRule type="cellIs" dxfId="694" priority="2" operator="lessThan">
      <formula>0.008</formula>
    </cfRule>
    <cfRule type="cellIs" dxfId="693" priority="3" operator="greaterThan">
      <formula>0.014</formula>
    </cfRule>
  </conditionalFormatting>
  <printOptions horizontalCentered="1"/>
  <pageMargins left="0" right="0" top="0.25" bottom="0" header="0.3" footer="0.3"/>
  <pageSetup scale="83"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91"/>
  <sheetViews>
    <sheetView zoomScaleNormal="100" workbookViewId="0">
      <selection sqref="A1:F1"/>
    </sheetView>
  </sheetViews>
  <sheetFormatPr defaultRowHeight="15" x14ac:dyDescent="0.25"/>
  <cols>
    <col min="1" max="1" width="2.85546875" style="7" customWidth="1"/>
    <col min="2" max="2" width="102.140625" style="64" customWidth="1"/>
    <col min="3" max="4" width="7.7109375" hidden="1" customWidth="1"/>
    <col min="5" max="6" width="7.7109375" style="5" hidden="1" customWidth="1"/>
    <col min="7" max="29" width="9.140625" style="4"/>
  </cols>
  <sheetData>
    <row r="1" spans="1:29" ht="21" x14ac:dyDescent="0.35">
      <c r="A1" s="323" t="s">
        <v>433</v>
      </c>
      <c r="B1" s="323"/>
      <c r="C1" s="323"/>
      <c r="D1" s="323"/>
      <c r="E1" s="323"/>
      <c r="F1" s="323"/>
    </row>
    <row r="2" spans="1:29" x14ac:dyDescent="0.25">
      <c r="A2" s="53"/>
      <c r="B2" s="22"/>
      <c r="C2" s="21"/>
      <c r="D2" s="21"/>
      <c r="E2" s="6"/>
      <c r="F2" s="6"/>
      <c r="G2"/>
      <c r="H2"/>
      <c r="I2"/>
      <c r="J2"/>
      <c r="K2"/>
      <c r="L2"/>
      <c r="M2"/>
      <c r="N2"/>
      <c r="O2"/>
      <c r="P2"/>
      <c r="Q2"/>
      <c r="R2"/>
      <c r="S2"/>
      <c r="T2"/>
      <c r="U2"/>
      <c r="V2"/>
      <c r="W2"/>
      <c r="X2"/>
      <c r="Y2"/>
      <c r="Z2"/>
      <c r="AA2"/>
      <c r="AB2"/>
      <c r="AC2"/>
    </row>
    <row r="3" spans="1:29" x14ac:dyDescent="0.25">
      <c r="A3" s="53" t="s">
        <v>164</v>
      </c>
      <c r="B3" s="60"/>
      <c r="C3" s="21"/>
      <c r="D3" s="21"/>
      <c r="E3" s="6"/>
      <c r="F3" s="6"/>
      <c r="G3"/>
      <c r="H3"/>
      <c r="I3"/>
      <c r="J3"/>
      <c r="K3"/>
      <c r="L3"/>
      <c r="M3"/>
      <c r="N3"/>
      <c r="O3"/>
      <c r="P3"/>
      <c r="Q3"/>
      <c r="R3"/>
      <c r="S3"/>
      <c r="T3"/>
      <c r="U3"/>
      <c r="V3"/>
      <c r="W3"/>
      <c r="X3"/>
      <c r="Y3"/>
      <c r="Z3"/>
      <c r="AA3"/>
      <c r="AB3"/>
      <c r="AC3"/>
    </row>
    <row r="4" spans="1:29" x14ac:dyDescent="0.25">
      <c r="A4" s="21"/>
      <c r="B4" s="60" t="s">
        <v>80</v>
      </c>
      <c r="C4" s="21"/>
      <c r="D4" s="21"/>
      <c r="E4" s="6"/>
      <c r="F4" s="6"/>
      <c r="G4"/>
      <c r="H4"/>
      <c r="I4"/>
      <c r="J4"/>
      <c r="K4"/>
      <c r="L4"/>
      <c r="M4"/>
      <c r="N4"/>
      <c r="O4"/>
      <c r="P4"/>
      <c r="Q4"/>
      <c r="R4"/>
      <c r="S4"/>
      <c r="T4"/>
      <c r="U4"/>
      <c r="V4"/>
      <c r="W4"/>
      <c r="X4"/>
      <c r="Y4"/>
      <c r="Z4"/>
      <c r="AA4"/>
      <c r="AB4"/>
      <c r="AC4"/>
    </row>
    <row r="5" spans="1:29" x14ac:dyDescent="0.25">
      <c r="A5" s="67"/>
      <c r="B5" s="22" t="s">
        <v>421</v>
      </c>
      <c r="C5" s="19"/>
      <c r="D5" s="2"/>
      <c r="E5" s="8" t="s">
        <v>61</v>
      </c>
      <c r="F5" s="24" t="s">
        <v>81</v>
      </c>
      <c r="G5"/>
      <c r="H5"/>
      <c r="I5"/>
      <c r="J5"/>
      <c r="K5"/>
      <c r="L5"/>
      <c r="M5"/>
      <c r="N5"/>
      <c r="O5"/>
      <c r="P5"/>
      <c r="Q5"/>
      <c r="R5"/>
      <c r="S5"/>
      <c r="T5"/>
      <c r="U5"/>
      <c r="V5"/>
      <c r="W5"/>
      <c r="X5"/>
      <c r="Y5"/>
      <c r="Z5"/>
      <c r="AA5"/>
      <c r="AB5"/>
      <c r="AC5"/>
    </row>
    <row r="6" spans="1:29" ht="15" customHeight="1" x14ac:dyDescent="0.25">
      <c r="A6" s="67"/>
      <c r="B6" s="61" t="s">
        <v>189</v>
      </c>
      <c r="C6" s="23"/>
      <c r="D6" s="2" t="s">
        <v>82</v>
      </c>
      <c r="E6" s="9" t="s">
        <v>64</v>
      </c>
      <c r="F6" s="23" t="s">
        <v>65</v>
      </c>
      <c r="G6"/>
      <c r="H6"/>
      <c r="I6"/>
      <c r="J6"/>
      <c r="K6"/>
      <c r="L6"/>
      <c r="M6"/>
      <c r="N6"/>
      <c r="O6"/>
      <c r="P6"/>
      <c r="Q6"/>
      <c r="R6"/>
      <c r="S6"/>
      <c r="T6"/>
      <c r="U6"/>
      <c r="V6"/>
      <c r="W6"/>
      <c r="X6"/>
      <c r="Y6"/>
      <c r="Z6"/>
      <c r="AA6"/>
      <c r="AB6"/>
      <c r="AC6"/>
    </row>
    <row r="7" spans="1:29" x14ac:dyDescent="0.25">
      <c r="A7" s="67"/>
      <c r="B7" s="22" t="s">
        <v>83</v>
      </c>
      <c r="C7" s="19"/>
      <c r="D7" s="1"/>
      <c r="E7" s="52"/>
      <c r="F7" s="52"/>
      <c r="G7"/>
      <c r="H7"/>
      <c r="I7"/>
      <c r="J7"/>
      <c r="K7"/>
      <c r="L7"/>
      <c r="M7"/>
      <c r="N7"/>
      <c r="O7"/>
      <c r="P7"/>
      <c r="Q7"/>
      <c r="R7"/>
      <c r="S7"/>
      <c r="T7"/>
      <c r="U7"/>
      <c r="V7"/>
      <c r="W7"/>
      <c r="X7"/>
      <c r="Y7"/>
      <c r="Z7"/>
      <c r="AA7"/>
      <c r="AB7"/>
      <c r="AC7"/>
    </row>
    <row r="8" spans="1:29" ht="7.5" customHeight="1" x14ac:dyDescent="0.25">
      <c r="A8" s="19"/>
      <c r="B8" s="54"/>
      <c r="C8" s="3"/>
      <c r="D8" s="3"/>
      <c r="E8" s="6"/>
      <c r="F8" s="6"/>
      <c r="G8"/>
      <c r="H8"/>
      <c r="I8"/>
      <c r="J8"/>
      <c r="K8"/>
      <c r="L8"/>
      <c r="M8"/>
      <c r="N8"/>
      <c r="O8"/>
      <c r="P8"/>
      <c r="Q8"/>
      <c r="R8"/>
      <c r="S8"/>
      <c r="T8"/>
      <c r="U8"/>
      <c r="V8"/>
      <c r="W8"/>
      <c r="X8"/>
      <c r="Y8"/>
      <c r="Z8"/>
      <c r="AA8"/>
      <c r="AB8"/>
      <c r="AC8"/>
    </row>
    <row r="9" spans="1:29" x14ac:dyDescent="0.25">
      <c r="A9" s="11"/>
      <c r="B9" s="62" t="s">
        <v>84</v>
      </c>
      <c r="C9" s="11"/>
      <c r="D9" s="21"/>
      <c r="E9" s="6"/>
      <c r="F9" s="6"/>
      <c r="G9"/>
      <c r="H9"/>
      <c r="I9"/>
      <c r="J9"/>
      <c r="K9"/>
      <c r="L9"/>
      <c r="M9"/>
      <c r="N9"/>
      <c r="O9"/>
      <c r="P9"/>
      <c r="Q9"/>
      <c r="R9"/>
      <c r="S9"/>
      <c r="T9"/>
      <c r="U9"/>
      <c r="V9"/>
      <c r="W9"/>
      <c r="X9"/>
      <c r="Y9"/>
      <c r="Z9"/>
      <c r="AA9"/>
      <c r="AB9"/>
      <c r="AC9"/>
    </row>
    <row r="10" spans="1:29" x14ac:dyDescent="0.25">
      <c r="A10" s="3"/>
      <c r="B10" s="22" t="s">
        <v>421</v>
      </c>
      <c r="C10" s="20"/>
      <c r="D10" s="2"/>
      <c r="E10" s="8" t="s">
        <v>61</v>
      </c>
      <c r="F10" s="24" t="s">
        <v>85</v>
      </c>
      <c r="G10"/>
      <c r="H10"/>
      <c r="I10"/>
      <c r="J10"/>
      <c r="K10"/>
      <c r="L10"/>
      <c r="M10"/>
      <c r="N10"/>
      <c r="O10"/>
      <c r="P10"/>
      <c r="Q10"/>
      <c r="R10"/>
      <c r="S10"/>
      <c r="T10"/>
      <c r="U10"/>
      <c r="V10"/>
      <c r="W10"/>
      <c r="X10"/>
      <c r="Y10"/>
      <c r="Z10"/>
      <c r="AA10"/>
      <c r="AB10"/>
      <c r="AC10"/>
    </row>
    <row r="11" spans="1:29" x14ac:dyDescent="0.25">
      <c r="A11" s="3"/>
      <c r="B11" s="22" t="s">
        <v>86</v>
      </c>
      <c r="C11" s="19"/>
      <c r="D11" s="2" t="s">
        <v>87</v>
      </c>
      <c r="E11" s="9" t="s">
        <v>64</v>
      </c>
      <c r="F11" s="23" t="s">
        <v>88</v>
      </c>
      <c r="G11"/>
      <c r="H11"/>
      <c r="I11"/>
      <c r="J11"/>
      <c r="K11"/>
      <c r="L11"/>
      <c r="M11"/>
      <c r="N11"/>
      <c r="O11"/>
      <c r="P11"/>
      <c r="Q11"/>
      <c r="R11"/>
      <c r="S11"/>
      <c r="T11"/>
      <c r="U11"/>
      <c r="V11"/>
      <c r="W11"/>
      <c r="X11"/>
      <c r="Y11"/>
      <c r="Z11"/>
      <c r="AA11"/>
      <c r="AB11"/>
      <c r="AC11"/>
    </row>
    <row r="12" spans="1:29" x14ac:dyDescent="0.25">
      <c r="A12" s="3"/>
      <c r="B12" s="22" t="s">
        <v>89</v>
      </c>
      <c r="C12" s="19"/>
      <c r="D12" s="3"/>
      <c r="E12" s="10" t="s">
        <v>66</v>
      </c>
      <c r="F12" s="23" t="s">
        <v>90</v>
      </c>
      <c r="G12"/>
      <c r="H12"/>
      <c r="I12"/>
      <c r="J12"/>
      <c r="K12"/>
      <c r="L12"/>
      <c r="M12"/>
      <c r="N12"/>
      <c r="O12"/>
      <c r="P12"/>
      <c r="Q12"/>
      <c r="R12"/>
      <c r="S12"/>
      <c r="T12"/>
      <c r="U12"/>
      <c r="V12"/>
      <c r="W12"/>
      <c r="X12"/>
      <c r="Y12"/>
      <c r="Z12"/>
      <c r="AA12"/>
      <c r="AB12"/>
      <c r="AC12"/>
    </row>
    <row r="13" spans="1:29" ht="7.5" customHeight="1" x14ac:dyDescent="0.25">
      <c r="A13" s="19"/>
      <c r="B13" s="54"/>
      <c r="C13" s="3"/>
      <c r="D13" s="3"/>
      <c r="E13" s="6"/>
      <c r="F13" s="6"/>
      <c r="G13"/>
      <c r="H13"/>
      <c r="I13"/>
      <c r="J13"/>
      <c r="K13"/>
      <c r="L13"/>
      <c r="M13"/>
      <c r="N13"/>
      <c r="O13"/>
      <c r="P13"/>
      <c r="Q13"/>
      <c r="R13"/>
      <c r="S13"/>
      <c r="T13"/>
      <c r="U13"/>
      <c r="V13"/>
      <c r="W13"/>
      <c r="X13"/>
      <c r="Y13"/>
      <c r="Z13"/>
      <c r="AA13"/>
      <c r="AB13"/>
      <c r="AC13"/>
    </row>
    <row r="14" spans="1:29" x14ac:dyDescent="0.25">
      <c r="A14" s="21"/>
      <c r="B14" s="60" t="s">
        <v>163</v>
      </c>
      <c r="C14" s="21"/>
      <c r="D14" s="21"/>
      <c r="E14" s="6"/>
      <c r="F14" s="6"/>
      <c r="G14"/>
      <c r="H14"/>
      <c r="I14"/>
      <c r="J14"/>
      <c r="K14"/>
      <c r="L14"/>
      <c r="M14"/>
      <c r="N14"/>
      <c r="O14"/>
      <c r="P14"/>
      <c r="Q14"/>
      <c r="R14"/>
      <c r="S14"/>
      <c r="T14"/>
      <c r="U14"/>
      <c r="V14"/>
      <c r="W14"/>
      <c r="X14"/>
      <c r="Y14"/>
      <c r="Z14"/>
      <c r="AA14"/>
      <c r="AB14"/>
      <c r="AC14"/>
    </row>
    <row r="15" spans="1:29" x14ac:dyDescent="0.25">
      <c r="A15" s="67"/>
      <c r="B15" s="22" t="s">
        <v>421</v>
      </c>
      <c r="C15" s="19"/>
      <c r="D15" s="2"/>
      <c r="E15" s="8" t="s">
        <v>61</v>
      </c>
      <c r="F15" s="24" t="s">
        <v>81</v>
      </c>
      <c r="G15"/>
      <c r="H15"/>
      <c r="I15"/>
      <c r="J15"/>
      <c r="K15"/>
      <c r="L15"/>
      <c r="M15"/>
      <c r="N15"/>
      <c r="O15"/>
      <c r="P15"/>
      <c r="Q15"/>
      <c r="R15"/>
      <c r="S15"/>
      <c r="T15"/>
      <c r="U15"/>
      <c r="V15"/>
      <c r="W15"/>
      <c r="X15"/>
      <c r="Y15"/>
      <c r="Z15"/>
      <c r="AA15"/>
      <c r="AB15"/>
      <c r="AC15"/>
    </row>
    <row r="16" spans="1:29" x14ac:dyDescent="0.25">
      <c r="A16" s="67"/>
      <c r="B16" s="22" t="s">
        <v>107</v>
      </c>
      <c r="C16" s="19"/>
      <c r="D16" s="2"/>
      <c r="E16" s="8"/>
      <c r="F16" s="24"/>
      <c r="G16"/>
      <c r="H16"/>
      <c r="I16"/>
      <c r="J16"/>
      <c r="K16"/>
      <c r="L16"/>
      <c r="M16"/>
      <c r="N16"/>
      <c r="O16"/>
      <c r="P16"/>
      <c r="Q16"/>
      <c r="R16"/>
      <c r="S16"/>
      <c r="T16"/>
      <c r="U16"/>
      <c r="V16"/>
      <c r="W16"/>
      <c r="X16"/>
      <c r="Y16"/>
      <c r="Z16"/>
      <c r="AA16"/>
      <c r="AB16"/>
      <c r="AC16"/>
    </row>
    <row r="17" spans="1:29" ht="30" x14ac:dyDescent="0.25">
      <c r="A17" s="3"/>
      <c r="B17" s="61" t="s">
        <v>429</v>
      </c>
      <c r="C17" s="19"/>
      <c r="D17" s="3"/>
      <c r="E17" s="10" t="s">
        <v>66</v>
      </c>
      <c r="F17" s="23" t="s">
        <v>90</v>
      </c>
      <c r="G17"/>
      <c r="H17"/>
      <c r="I17"/>
      <c r="J17"/>
      <c r="K17"/>
      <c r="L17"/>
      <c r="M17"/>
      <c r="N17"/>
      <c r="O17"/>
      <c r="P17"/>
      <c r="Q17"/>
      <c r="R17"/>
      <c r="S17"/>
      <c r="T17"/>
      <c r="U17"/>
      <c r="V17"/>
      <c r="W17"/>
      <c r="X17"/>
      <c r="Y17"/>
      <c r="Z17"/>
      <c r="AA17"/>
      <c r="AB17"/>
      <c r="AC17"/>
    </row>
    <row r="18" spans="1:29" x14ac:dyDescent="0.25">
      <c r="A18" s="53"/>
      <c r="B18" s="22"/>
      <c r="C18" s="21"/>
      <c r="D18" s="21"/>
      <c r="E18" s="6"/>
      <c r="F18" s="6"/>
      <c r="G18"/>
      <c r="H18"/>
      <c r="I18"/>
      <c r="J18"/>
      <c r="K18"/>
      <c r="L18"/>
      <c r="M18"/>
      <c r="N18"/>
      <c r="O18"/>
      <c r="P18"/>
      <c r="Q18"/>
      <c r="R18"/>
      <c r="S18"/>
      <c r="T18"/>
      <c r="U18"/>
      <c r="V18"/>
      <c r="W18"/>
      <c r="X18"/>
      <c r="Y18"/>
      <c r="Z18"/>
      <c r="AA18"/>
      <c r="AB18"/>
      <c r="AC18"/>
    </row>
    <row r="19" spans="1:29" x14ac:dyDescent="0.25">
      <c r="A19" s="53" t="s">
        <v>106</v>
      </c>
      <c r="B19" s="59"/>
      <c r="C19" s="11"/>
      <c r="D19" s="21"/>
      <c r="E19" s="6"/>
      <c r="F19" s="6"/>
      <c r="AA19"/>
      <c r="AB19"/>
      <c r="AC19"/>
    </row>
    <row r="20" spans="1:29" x14ac:dyDescent="0.25">
      <c r="A20" s="11"/>
      <c r="B20" s="60" t="s">
        <v>45</v>
      </c>
      <c r="C20" s="11"/>
      <c r="D20" s="21"/>
      <c r="E20" s="6"/>
      <c r="F20" s="6"/>
      <c r="AA20"/>
      <c r="AB20"/>
      <c r="AC20"/>
    </row>
    <row r="21" spans="1:29" x14ac:dyDescent="0.25">
      <c r="A21" s="3"/>
      <c r="B21" s="22" t="s">
        <v>422</v>
      </c>
      <c r="C21" s="19"/>
      <c r="D21" s="2"/>
      <c r="E21" s="8" t="s">
        <v>61</v>
      </c>
      <c r="F21" s="12" t="s">
        <v>76</v>
      </c>
      <c r="AA21"/>
      <c r="AB21"/>
      <c r="AC21"/>
    </row>
    <row r="22" spans="1:29" x14ac:dyDescent="0.25">
      <c r="A22" s="3"/>
      <c r="B22" s="22" t="s">
        <v>103</v>
      </c>
      <c r="C22" s="19"/>
      <c r="D22" s="2"/>
      <c r="E22" s="8"/>
      <c r="F22" s="12"/>
      <c r="AA22"/>
      <c r="AB22"/>
      <c r="AC22"/>
    </row>
    <row r="23" spans="1:29" x14ac:dyDescent="0.25">
      <c r="A23" s="54"/>
      <c r="B23" s="22" t="s">
        <v>77</v>
      </c>
      <c r="C23" s="22"/>
      <c r="D23" s="2" t="s">
        <v>78</v>
      </c>
      <c r="E23" s="9" t="s">
        <v>64</v>
      </c>
      <c r="F23" s="23" t="s">
        <v>79</v>
      </c>
      <c r="AA23"/>
      <c r="AB23"/>
      <c r="AC23"/>
    </row>
    <row r="24" spans="1:29" ht="7.5" customHeight="1" x14ac:dyDescent="0.25">
      <c r="A24" s="19"/>
      <c r="B24" s="54"/>
      <c r="C24" s="3"/>
      <c r="D24" s="3"/>
      <c r="E24" s="6"/>
      <c r="F24" s="6"/>
      <c r="G24"/>
      <c r="H24"/>
      <c r="I24"/>
      <c r="J24"/>
      <c r="K24"/>
      <c r="L24"/>
      <c r="M24"/>
      <c r="N24"/>
      <c r="O24"/>
      <c r="P24"/>
      <c r="Q24"/>
      <c r="R24"/>
      <c r="S24"/>
      <c r="T24"/>
      <c r="U24"/>
      <c r="V24"/>
      <c r="W24"/>
      <c r="X24"/>
      <c r="Y24"/>
      <c r="Z24"/>
      <c r="AA24"/>
      <c r="AB24"/>
      <c r="AC24"/>
    </row>
    <row r="25" spans="1:29" x14ac:dyDescent="0.25">
      <c r="A25" s="11"/>
      <c r="B25" s="60" t="s">
        <v>46</v>
      </c>
      <c r="C25" s="11"/>
      <c r="D25" s="21"/>
      <c r="E25" s="6"/>
      <c r="F25" s="6"/>
      <c r="AA25"/>
      <c r="AB25"/>
      <c r="AC25"/>
    </row>
    <row r="26" spans="1:29" x14ac:dyDescent="0.25">
      <c r="A26" s="3"/>
      <c r="B26" s="22" t="s">
        <v>430</v>
      </c>
      <c r="C26" s="19"/>
      <c r="D26" s="2"/>
      <c r="E26" s="8" t="s">
        <v>61</v>
      </c>
      <c r="F26" s="12" t="s">
        <v>76</v>
      </c>
      <c r="AA26"/>
      <c r="AB26"/>
      <c r="AC26"/>
    </row>
    <row r="27" spans="1:29" x14ac:dyDescent="0.25">
      <c r="A27" s="3"/>
      <c r="B27" s="22" t="s">
        <v>103</v>
      </c>
      <c r="C27" s="19"/>
      <c r="D27" s="2"/>
      <c r="E27" s="8"/>
      <c r="F27" s="12"/>
      <c r="AA27"/>
      <c r="AB27"/>
      <c r="AC27"/>
    </row>
    <row r="28" spans="1:29" x14ac:dyDescent="0.25">
      <c r="A28" s="54"/>
      <c r="B28" s="22" t="s">
        <v>104</v>
      </c>
      <c r="C28" s="22"/>
      <c r="D28" s="2" t="s">
        <v>78</v>
      </c>
      <c r="E28" s="9" t="s">
        <v>64</v>
      </c>
      <c r="F28" s="23" t="s">
        <v>79</v>
      </c>
      <c r="AA28"/>
      <c r="AB28"/>
      <c r="AC28"/>
    </row>
    <row r="29" spans="1:29" x14ac:dyDescent="0.25">
      <c r="A29" s="53"/>
      <c r="B29" s="22"/>
      <c r="C29" s="21"/>
      <c r="D29" s="21"/>
      <c r="E29" s="6"/>
      <c r="F29" s="6"/>
      <c r="G29"/>
      <c r="H29"/>
      <c r="I29"/>
      <c r="J29"/>
      <c r="K29"/>
      <c r="L29"/>
      <c r="M29"/>
      <c r="N29"/>
      <c r="O29"/>
      <c r="P29"/>
      <c r="Q29"/>
      <c r="R29"/>
      <c r="S29"/>
      <c r="T29"/>
      <c r="U29"/>
      <c r="V29"/>
      <c r="W29"/>
      <c r="X29"/>
      <c r="Y29"/>
      <c r="Z29"/>
      <c r="AA29"/>
      <c r="AB29"/>
      <c r="AC29"/>
    </row>
    <row r="30" spans="1:29" x14ac:dyDescent="0.25">
      <c r="A30" s="53" t="s">
        <v>57</v>
      </c>
      <c r="B30" s="63"/>
      <c r="C30" s="19"/>
      <c r="D30" s="3"/>
      <c r="E30" s="10"/>
      <c r="F30" s="23"/>
      <c r="AA30"/>
      <c r="AB30"/>
      <c r="AC30"/>
    </row>
    <row r="31" spans="1:29" x14ac:dyDescent="0.25">
      <c r="A31" s="67"/>
      <c r="B31" s="60" t="s">
        <v>105</v>
      </c>
      <c r="C31" s="21"/>
      <c r="D31" s="3"/>
      <c r="E31" s="10"/>
      <c r="F31" s="23"/>
      <c r="AA31"/>
      <c r="AB31"/>
      <c r="AC31"/>
    </row>
    <row r="32" spans="1:29" x14ac:dyDescent="0.25">
      <c r="A32" s="3"/>
      <c r="B32" s="22" t="s">
        <v>422</v>
      </c>
      <c r="C32" s="19"/>
      <c r="D32" s="18"/>
      <c r="E32" s="8" t="s">
        <v>61</v>
      </c>
      <c r="F32" s="14" t="s">
        <v>71</v>
      </c>
      <c r="AA32"/>
      <c r="AB32"/>
      <c r="AC32"/>
    </row>
    <row r="33" spans="1:29" x14ac:dyDescent="0.25">
      <c r="A33" s="3"/>
      <c r="B33" s="22" t="s">
        <v>108</v>
      </c>
      <c r="C33" s="19"/>
      <c r="D33" s="18"/>
      <c r="E33" s="8"/>
      <c r="F33" s="14"/>
      <c r="AA33"/>
      <c r="AB33"/>
      <c r="AC33"/>
    </row>
    <row r="34" spans="1:29" x14ac:dyDescent="0.25">
      <c r="A34" s="3"/>
      <c r="B34" s="22" t="s">
        <v>109</v>
      </c>
      <c r="C34" s="19"/>
      <c r="D34" s="18"/>
      <c r="E34" s="8"/>
      <c r="F34" s="14"/>
      <c r="AA34"/>
      <c r="AB34"/>
      <c r="AC34"/>
    </row>
    <row r="35" spans="1:29" ht="30" x14ac:dyDescent="0.25">
      <c r="A35" s="3"/>
      <c r="B35" s="61" t="s">
        <v>382</v>
      </c>
      <c r="C35" s="19"/>
      <c r="D35" s="18"/>
      <c r="E35" s="8"/>
      <c r="F35" s="14"/>
      <c r="AA35"/>
      <c r="AB35"/>
      <c r="AC35"/>
    </row>
    <row r="36" spans="1:29" ht="7.5" customHeight="1" x14ac:dyDescent="0.25">
      <c r="A36" s="19"/>
      <c r="B36" s="54"/>
      <c r="C36" s="3"/>
      <c r="D36" s="3"/>
      <c r="E36" s="6"/>
      <c r="F36" s="6"/>
      <c r="G36"/>
      <c r="H36"/>
      <c r="I36"/>
      <c r="J36"/>
      <c r="K36"/>
      <c r="L36"/>
      <c r="M36"/>
      <c r="N36"/>
      <c r="O36"/>
      <c r="P36"/>
      <c r="Q36"/>
      <c r="R36"/>
      <c r="S36"/>
      <c r="T36"/>
      <c r="U36"/>
      <c r="V36"/>
      <c r="W36"/>
      <c r="X36"/>
      <c r="Y36"/>
      <c r="Z36"/>
      <c r="AA36"/>
      <c r="AB36"/>
      <c r="AC36"/>
    </row>
    <row r="37" spans="1:29" x14ac:dyDescent="0.25">
      <c r="A37" s="67"/>
      <c r="B37" s="60" t="s">
        <v>110</v>
      </c>
      <c r="C37" s="21"/>
      <c r="D37" s="3"/>
      <c r="E37" s="10"/>
      <c r="F37" s="23"/>
      <c r="AA37"/>
      <c r="AB37"/>
      <c r="AC37"/>
    </row>
    <row r="38" spans="1:29" x14ac:dyDescent="0.25">
      <c r="A38" s="67"/>
      <c r="B38" s="22" t="s">
        <v>422</v>
      </c>
      <c r="C38" s="21"/>
      <c r="D38" s="3"/>
      <c r="E38" s="10"/>
      <c r="F38" s="23"/>
      <c r="AA38"/>
      <c r="AB38"/>
      <c r="AC38"/>
    </row>
    <row r="39" spans="1:29" x14ac:dyDescent="0.25">
      <c r="A39" s="67"/>
      <c r="B39" s="22" t="s">
        <v>120</v>
      </c>
      <c r="C39" s="21"/>
      <c r="D39" s="3"/>
      <c r="E39" s="10"/>
      <c r="F39" s="23"/>
      <c r="AA39"/>
      <c r="AB39"/>
      <c r="AC39"/>
    </row>
    <row r="40" spans="1:29" x14ac:dyDescent="0.25">
      <c r="A40" s="67"/>
      <c r="B40" s="22" t="s">
        <v>111</v>
      </c>
      <c r="C40" s="21"/>
      <c r="D40" s="3"/>
      <c r="E40" s="10"/>
      <c r="F40" s="23"/>
      <c r="AA40"/>
      <c r="AB40"/>
      <c r="AC40"/>
    </row>
    <row r="41" spans="1:29" x14ac:dyDescent="0.25">
      <c r="A41" s="67"/>
      <c r="B41" s="22" t="s">
        <v>112</v>
      </c>
      <c r="C41" s="21"/>
      <c r="D41" s="3"/>
      <c r="E41" s="10"/>
      <c r="F41" s="23"/>
      <c r="AA41"/>
      <c r="AB41"/>
      <c r="AC41"/>
    </row>
    <row r="42" spans="1:29" ht="30" x14ac:dyDescent="0.25">
      <c r="A42" s="3"/>
      <c r="B42" s="61" t="s">
        <v>383</v>
      </c>
      <c r="C42" s="19"/>
      <c r="D42" s="18"/>
      <c r="E42" s="8"/>
      <c r="F42" s="14"/>
      <c r="AA42"/>
      <c r="AB42"/>
      <c r="AC42"/>
    </row>
    <row r="43" spans="1:29" x14ac:dyDescent="0.25">
      <c r="A43" s="53"/>
      <c r="B43" s="22"/>
      <c r="C43" s="21"/>
      <c r="D43" s="21"/>
      <c r="E43" s="6"/>
      <c r="F43" s="6"/>
      <c r="G43"/>
      <c r="H43"/>
      <c r="I43"/>
      <c r="J43"/>
      <c r="K43"/>
      <c r="L43"/>
      <c r="M43"/>
      <c r="N43"/>
      <c r="O43"/>
      <c r="P43"/>
      <c r="Q43"/>
      <c r="R43"/>
      <c r="S43"/>
      <c r="T43"/>
      <c r="U43"/>
      <c r="V43"/>
      <c r="W43"/>
      <c r="X43"/>
      <c r="Y43"/>
      <c r="Z43"/>
      <c r="AA43"/>
      <c r="AB43"/>
      <c r="AC43"/>
    </row>
    <row r="44" spans="1:29" x14ac:dyDescent="0.25">
      <c r="A44" s="53" t="s">
        <v>98</v>
      </c>
      <c r="B44" s="60"/>
      <c r="C44" s="21"/>
      <c r="D44" s="21"/>
      <c r="E44" s="6"/>
      <c r="F44" s="6"/>
      <c r="G44"/>
      <c r="H44"/>
      <c r="I44"/>
      <c r="J44"/>
      <c r="K44"/>
      <c r="L44"/>
      <c r="M44"/>
      <c r="N44"/>
      <c r="O44"/>
      <c r="P44"/>
      <c r="Q44"/>
      <c r="R44"/>
      <c r="S44"/>
      <c r="T44"/>
      <c r="U44"/>
      <c r="V44"/>
      <c r="W44"/>
      <c r="X44"/>
      <c r="Y44"/>
      <c r="Z44"/>
      <c r="AA44"/>
      <c r="AB44"/>
      <c r="AC44"/>
    </row>
    <row r="45" spans="1:29" x14ac:dyDescent="0.25">
      <c r="A45" s="21"/>
      <c r="B45" s="60" t="s">
        <v>165</v>
      </c>
      <c r="C45" s="21"/>
      <c r="D45" s="21"/>
      <c r="E45" s="6"/>
      <c r="F45" s="6"/>
      <c r="G45"/>
      <c r="H45"/>
      <c r="I45"/>
      <c r="J45"/>
      <c r="K45"/>
      <c r="L45"/>
      <c r="M45"/>
      <c r="N45"/>
      <c r="O45"/>
      <c r="P45"/>
      <c r="Q45"/>
      <c r="R45"/>
      <c r="S45"/>
      <c r="T45"/>
      <c r="U45"/>
      <c r="V45"/>
      <c r="W45"/>
      <c r="X45"/>
      <c r="Y45"/>
      <c r="Z45"/>
      <c r="AA45"/>
      <c r="AB45"/>
      <c r="AC45"/>
    </row>
    <row r="46" spans="1:29" x14ac:dyDescent="0.25">
      <c r="A46" s="67"/>
      <c r="B46" s="22" t="s">
        <v>422</v>
      </c>
      <c r="C46" s="19"/>
      <c r="D46" s="2"/>
      <c r="E46" s="8" t="s">
        <v>61</v>
      </c>
      <c r="F46" s="24" t="s">
        <v>62</v>
      </c>
      <c r="G46"/>
      <c r="H46"/>
      <c r="I46"/>
      <c r="J46"/>
      <c r="K46"/>
      <c r="L46"/>
      <c r="M46"/>
      <c r="N46"/>
      <c r="O46"/>
      <c r="P46"/>
      <c r="Q46"/>
      <c r="R46"/>
      <c r="S46"/>
      <c r="T46"/>
      <c r="U46"/>
      <c r="V46"/>
      <c r="W46"/>
      <c r="X46"/>
      <c r="Y46"/>
      <c r="Z46"/>
      <c r="AA46"/>
      <c r="AB46"/>
      <c r="AC46"/>
    </row>
    <row r="47" spans="1:29" x14ac:dyDescent="0.25">
      <c r="A47" s="67"/>
      <c r="B47" s="61" t="s">
        <v>166</v>
      </c>
      <c r="C47" s="23"/>
      <c r="D47" s="2" t="s">
        <v>63</v>
      </c>
      <c r="E47" s="9" t="s">
        <v>64</v>
      </c>
      <c r="F47" s="23" t="s">
        <v>65</v>
      </c>
      <c r="G47"/>
      <c r="H47"/>
      <c r="I47"/>
      <c r="J47"/>
      <c r="K47"/>
      <c r="L47"/>
      <c r="M47"/>
      <c r="N47"/>
      <c r="O47"/>
      <c r="P47"/>
      <c r="Q47"/>
      <c r="R47"/>
      <c r="S47"/>
      <c r="T47"/>
      <c r="U47"/>
      <c r="V47"/>
      <c r="W47"/>
      <c r="X47"/>
      <c r="Y47"/>
      <c r="Z47"/>
      <c r="AA47"/>
      <c r="AB47"/>
      <c r="AC47"/>
    </row>
    <row r="48" spans="1:29" ht="7.5" customHeight="1" x14ac:dyDescent="0.25">
      <c r="A48" s="19"/>
      <c r="B48" s="54"/>
      <c r="C48" s="3"/>
      <c r="D48" s="3"/>
      <c r="E48" s="6" t="s">
        <v>66</v>
      </c>
      <c r="F48" s="6" t="s">
        <v>67</v>
      </c>
      <c r="G48"/>
      <c r="H48"/>
      <c r="I48"/>
      <c r="J48"/>
      <c r="K48"/>
      <c r="L48"/>
      <c r="M48"/>
      <c r="N48"/>
      <c r="O48"/>
      <c r="P48"/>
      <c r="Q48"/>
      <c r="R48"/>
      <c r="S48"/>
      <c r="T48"/>
      <c r="U48"/>
      <c r="V48"/>
      <c r="W48"/>
      <c r="X48"/>
      <c r="Y48"/>
      <c r="Z48"/>
      <c r="AA48"/>
      <c r="AB48"/>
      <c r="AC48"/>
    </row>
    <row r="49" spans="1:29" hidden="1" x14ac:dyDescent="0.25">
      <c r="A49" s="21"/>
      <c r="B49" s="60" t="s">
        <v>60</v>
      </c>
      <c r="C49" s="21"/>
      <c r="D49" s="21"/>
      <c r="E49" s="6"/>
      <c r="F49" s="6"/>
      <c r="G49"/>
      <c r="H49"/>
      <c r="I49"/>
      <c r="J49"/>
      <c r="K49"/>
      <c r="L49"/>
      <c r="M49"/>
      <c r="N49"/>
      <c r="O49"/>
      <c r="P49"/>
      <c r="Q49"/>
      <c r="R49"/>
      <c r="S49"/>
      <c r="T49"/>
      <c r="U49"/>
      <c r="V49"/>
      <c r="W49"/>
      <c r="X49"/>
      <c r="Y49"/>
      <c r="Z49"/>
      <c r="AA49"/>
      <c r="AB49"/>
      <c r="AC49"/>
    </row>
    <row r="50" spans="1:29" hidden="1" x14ac:dyDescent="0.25">
      <c r="A50" s="67"/>
      <c r="B50" s="22" t="s">
        <v>167</v>
      </c>
      <c r="C50" s="19"/>
      <c r="D50" s="2"/>
      <c r="E50" s="8" t="s">
        <v>61</v>
      </c>
      <c r="F50" s="24" t="s">
        <v>62</v>
      </c>
      <c r="G50"/>
      <c r="H50"/>
      <c r="I50"/>
      <c r="J50"/>
      <c r="K50"/>
      <c r="L50"/>
      <c r="M50"/>
      <c r="N50"/>
      <c r="O50"/>
      <c r="P50"/>
      <c r="Q50"/>
      <c r="R50"/>
      <c r="S50"/>
      <c r="T50"/>
      <c r="U50"/>
      <c r="V50"/>
      <c r="W50"/>
      <c r="X50"/>
      <c r="Y50"/>
      <c r="Z50"/>
      <c r="AA50"/>
      <c r="AB50"/>
      <c r="AC50"/>
    </row>
    <row r="51" spans="1:29" hidden="1" x14ac:dyDescent="0.25">
      <c r="A51" s="67"/>
      <c r="B51" s="61" t="s">
        <v>121</v>
      </c>
      <c r="C51" s="23"/>
      <c r="D51" s="2" t="s">
        <v>63</v>
      </c>
      <c r="E51" s="9" t="s">
        <v>64</v>
      </c>
      <c r="F51" s="23" t="s">
        <v>65</v>
      </c>
      <c r="G51"/>
      <c r="H51"/>
      <c r="I51"/>
      <c r="J51"/>
      <c r="K51"/>
      <c r="L51"/>
      <c r="M51"/>
      <c r="N51"/>
      <c r="O51"/>
      <c r="P51"/>
      <c r="Q51"/>
      <c r="R51"/>
      <c r="S51"/>
      <c r="T51"/>
      <c r="U51"/>
      <c r="V51"/>
      <c r="W51"/>
      <c r="X51"/>
      <c r="Y51"/>
      <c r="Z51"/>
      <c r="AA51"/>
      <c r="AB51"/>
      <c r="AC51"/>
    </row>
    <row r="52" spans="1:29" ht="7.5" hidden="1" customHeight="1" x14ac:dyDescent="0.25">
      <c r="A52" s="19"/>
      <c r="B52" s="54"/>
      <c r="C52" s="3"/>
      <c r="D52" s="3"/>
      <c r="E52" s="6" t="s">
        <v>66</v>
      </c>
      <c r="F52" s="6" t="s">
        <v>67</v>
      </c>
      <c r="G52"/>
      <c r="H52"/>
      <c r="I52"/>
      <c r="J52"/>
      <c r="K52"/>
      <c r="L52"/>
      <c r="M52"/>
      <c r="N52"/>
      <c r="O52"/>
      <c r="P52"/>
      <c r="Q52"/>
      <c r="R52"/>
      <c r="S52"/>
      <c r="T52"/>
      <c r="U52"/>
      <c r="V52"/>
      <c r="W52"/>
      <c r="X52"/>
      <c r="Y52"/>
      <c r="Z52"/>
      <c r="AA52"/>
      <c r="AB52"/>
      <c r="AC52"/>
    </row>
    <row r="53" spans="1:29" x14ac:dyDescent="0.25">
      <c r="A53" s="11"/>
      <c r="B53" s="62" t="s">
        <v>113</v>
      </c>
      <c r="C53" s="11"/>
      <c r="D53" s="21"/>
      <c r="E53" s="6"/>
      <c r="F53" s="6"/>
      <c r="G53"/>
      <c r="H53"/>
      <c r="I53"/>
      <c r="J53"/>
      <c r="K53"/>
      <c r="L53"/>
      <c r="M53"/>
      <c r="N53"/>
      <c r="O53"/>
      <c r="P53"/>
      <c r="Q53"/>
      <c r="R53"/>
      <c r="S53"/>
      <c r="T53"/>
      <c r="U53"/>
      <c r="V53"/>
      <c r="W53"/>
      <c r="X53"/>
      <c r="Y53"/>
      <c r="Z53"/>
      <c r="AA53"/>
      <c r="AB53"/>
      <c r="AC53"/>
    </row>
    <row r="54" spans="1:29" x14ac:dyDescent="0.25">
      <c r="A54" s="67"/>
      <c r="B54" s="22" t="s">
        <v>423</v>
      </c>
      <c r="C54" s="19"/>
      <c r="D54" s="2"/>
      <c r="E54" s="8" t="s">
        <v>61</v>
      </c>
      <c r="F54" s="24" t="s">
        <v>68</v>
      </c>
      <c r="G54"/>
      <c r="H54"/>
      <c r="I54"/>
      <c r="J54"/>
      <c r="K54"/>
      <c r="L54"/>
      <c r="M54"/>
      <c r="N54"/>
      <c r="O54"/>
      <c r="P54"/>
      <c r="Q54"/>
      <c r="R54"/>
      <c r="S54"/>
      <c r="T54"/>
      <c r="U54"/>
      <c r="V54"/>
      <c r="W54"/>
      <c r="X54"/>
      <c r="Y54"/>
      <c r="Z54"/>
      <c r="AA54"/>
      <c r="AB54"/>
      <c r="AC54"/>
    </row>
    <row r="55" spans="1:29" ht="15" customHeight="1" x14ac:dyDescent="0.25">
      <c r="A55" s="67"/>
      <c r="B55" s="61" t="s">
        <v>114</v>
      </c>
      <c r="C55" s="23"/>
      <c r="D55" s="2" t="s">
        <v>69</v>
      </c>
      <c r="E55" s="9" t="s">
        <v>64</v>
      </c>
      <c r="F55" s="23" t="s">
        <v>70</v>
      </c>
      <c r="G55"/>
      <c r="H55"/>
      <c r="I55"/>
      <c r="J55"/>
      <c r="K55"/>
      <c r="L55"/>
      <c r="M55"/>
      <c r="N55"/>
      <c r="O55"/>
      <c r="P55"/>
      <c r="Q55"/>
      <c r="R55"/>
      <c r="S55"/>
      <c r="T55"/>
      <c r="U55"/>
      <c r="V55"/>
      <c r="W55"/>
      <c r="X55"/>
      <c r="Y55"/>
      <c r="Z55"/>
      <c r="AA55"/>
      <c r="AB55"/>
      <c r="AC55"/>
    </row>
    <row r="56" spans="1:29" x14ac:dyDescent="0.25">
      <c r="A56" s="19"/>
      <c r="B56" s="22" t="s">
        <v>115</v>
      </c>
      <c r="C56" s="3"/>
      <c r="D56" s="3"/>
      <c r="E56" s="6"/>
      <c r="F56" s="6"/>
      <c r="AA56"/>
      <c r="AB56"/>
      <c r="AC56"/>
    </row>
    <row r="57" spans="1:29" ht="3" customHeight="1" x14ac:dyDescent="0.25">
      <c r="A57" s="53"/>
      <c r="B57" s="22"/>
      <c r="C57" s="21"/>
      <c r="D57" s="21"/>
      <c r="E57" s="6"/>
      <c r="F57" s="6"/>
      <c r="G57"/>
      <c r="H57"/>
      <c r="I57"/>
      <c r="J57"/>
      <c r="K57"/>
      <c r="L57"/>
      <c r="M57"/>
      <c r="N57"/>
      <c r="O57"/>
      <c r="P57"/>
      <c r="Q57"/>
      <c r="R57"/>
      <c r="S57"/>
      <c r="T57"/>
      <c r="U57"/>
      <c r="V57"/>
      <c r="W57"/>
      <c r="X57"/>
      <c r="Y57"/>
      <c r="Z57"/>
      <c r="AA57"/>
      <c r="AB57"/>
      <c r="AC57"/>
    </row>
    <row r="58" spans="1:29" x14ac:dyDescent="0.25">
      <c r="A58" s="53" t="s">
        <v>117</v>
      </c>
      <c r="B58" s="60"/>
      <c r="C58" s="21"/>
      <c r="D58" s="21"/>
      <c r="E58" s="6"/>
      <c r="F58" s="6"/>
      <c r="G58"/>
      <c r="H58"/>
      <c r="I58"/>
      <c r="J58"/>
      <c r="K58"/>
      <c r="L58"/>
      <c r="M58"/>
      <c r="N58"/>
      <c r="O58"/>
      <c r="P58"/>
      <c r="Q58"/>
      <c r="R58"/>
      <c r="S58"/>
      <c r="T58"/>
      <c r="U58"/>
      <c r="V58"/>
      <c r="W58"/>
      <c r="X58"/>
      <c r="Y58"/>
      <c r="Z58"/>
      <c r="AA58"/>
      <c r="AB58"/>
      <c r="AC58"/>
    </row>
    <row r="59" spans="1:29" x14ac:dyDescent="0.25">
      <c r="A59" s="53"/>
      <c r="B59" s="22" t="s">
        <v>431</v>
      </c>
      <c r="C59" s="21"/>
      <c r="D59" s="21"/>
      <c r="E59" s="6"/>
      <c r="F59" s="6"/>
      <c r="G59"/>
      <c r="H59"/>
      <c r="I59"/>
      <c r="J59"/>
      <c r="K59"/>
      <c r="L59"/>
      <c r="M59"/>
      <c r="N59"/>
      <c r="O59"/>
      <c r="P59"/>
      <c r="Q59"/>
      <c r="R59"/>
      <c r="S59"/>
      <c r="T59"/>
      <c r="U59"/>
      <c r="V59"/>
      <c r="W59"/>
      <c r="X59"/>
      <c r="Y59"/>
      <c r="Z59"/>
      <c r="AA59"/>
      <c r="AB59"/>
      <c r="AC59"/>
    </row>
    <row r="60" spans="1:29" x14ac:dyDescent="0.25">
      <c r="A60" s="53"/>
      <c r="B60" s="22" t="s">
        <v>122</v>
      </c>
      <c r="C60" s="21"/>
      <c r="D60" s="21"/>
      <c r="E60" s="6"/>
      <c r="F60" s="6"/>
      <c r="G60"/>
      <c r="H60"/>
      <c r="I60"/>
      <c r="J60"/>
      <c r="K60"/>
      <c r="L60"/>
      <c r="M60"/>
      <c r="N60"/>
      <c r="O60"/>
      <c r="P60"/>
      <c r="Q60"/>
      <c r="R60"/>
      <c r="S60"/>
      <c r="T60"/>
      <c r="U60"/>
      <c r="V60"/>
      <c r="W60"/>
      <c r="X60"/>
      <c r="Y60"/>
      <c r="Z60"/>
      <c r="AA60"/>
      <c r="AB60"/>
      <c r="AC60"/>
    </row>
    <row r="61" spans="1:29" x14ac:dyDescent="0.25">
      <c r="A61" s="53"/>
      <c r="B61" s="22" t="s">
        <v>118</v>
      </c>
      <c r="C61" s="21"/>
      <c r="D61" s="21"/>
      <c r="E61" s="6"/>
      <c r="F61" s="6"/>
      <c r="G61"/>
      <c r="H61"/>
      <c r="I61"/>
      <c r="J61"/>
      <c r="K61"/>
      <c r="L61"/>
      <c r="M61"/>
      <c r="N61"/>
      <c r="O61"/>
      <c r="P61"/>
      <c r="Q61"/>
      <c r="R61"/>
      <c r="S61"/>
      <c r="T61"/>
      <c r="U61"/>
      <c r="V61"/>
      <c r="W61"/>
      <c r="X61"/>
      <c r="Y61"/>
      <c r="Z61"/>
      <c r="AA61"/>
      <c r="AB61"/>
      <c r="AC61"/>
    </row>
    <row r="62" spans="1:29" x14ac:dyDescent="0.25">
      <c r="A62" s="53"/>
      <c r="B62" s="66" t="s">
        <v>177</v>
      </c>
      <c r="C62" s="21"/>
      <c r="D62" s="21"/>
      <c r="E62" s="6"/>
      <c r="F62" s="6"/>
      <c r="G62"/>
      <c r="H62"/>
      <c r="I62"/>
      <c r="J62"/>
      <c r="K62"/>
      <c r="L62"/>
      <c r="M62"/>
      <c r="N62"/>
      <c r="O62"/>
      <c r="P62"/>
      <c r="Q62"/>
      <c r="R62"/>
      <c r="S62"/>
      <c r="T62"/>
      <c r="U62"/>
      <c r="V62"/>
      <c r="W62"/>
      <c r="X62"/>
      <c r="Y62"/>
      <c r="Z62"/>
      <c r="AA62"/>
      <c r="AB62"/>
      <c r="AC62"/>
    </row>
    <row r="63" spans="1:29" x14ac:dyDescent="0.25">
      <c r="A63" s="53"/>
      <c r="B63" s="22" t="s">
        <v>174</v>
      </c>
      <c r="C63" s="21"/>
      <c r="D63" s="21"/>
      <c r="E63" s="6"/>
      <c r="F63" s="6"/>
      <c r="G63"/>
      <c r="H63"/>
      <c r="I63"/>
      <c r="J63"/>
      <c r="K63"/>
      <c r="L63"/>
      <c r="M63"/>
      <c r="N63"/>
      <c r="O63"/>
      <c r="P63"/>
      <c r="Q63"/>
      <c r="R63"/>
      <c r="S63"/>
      <c r="T63"/>
      <c r="U63"/>
      <c r="V63"/>
      <c r="W63"/>
      <c r="X63"/>
      <c r="Y63"/>
      <c r="Z63"/>
      <c r="AA63"/>
      <c r="AB63"/>
      <c r="AC63"/>
    </row>
    <row r="64" spans="1:29" x14ac:dyDescent="0.25">
      <c r="A64" s="53"/>
      <c r="B64" s="22" t="s">
        <v>119</v>
      </c>
      <c r="C64" s="21"/>
      <c r="D64" s="21"/>
      <c r="E64" s="6"/>
      <c r="F64" s="6"/>
      <c r="G64"/>
      <c r="H64"/>
      <c r="I64"/>
      <c r="J64"/>
      <c r="K64"/>
      <c r="L64"/>
      <c r="M64"/>
      <c r="N64"/>
      <c r="O64"/>
      <c r="P64"/>
      <c r="Q64"/>
      <c r="R64"/>
      <c r="S64"/>
      <c r="T64"/>
      <c r="U64"/>
      <c r="V64"/>
      <c r="W64"/>
      <c r="X64"/>
      <c r="Y64"/>
      <c r="Z64"/>
      <c r="AA64"/>
      <c r="AB64"/>
      <c r="AC64"/>
    </row>
    <row r="65" spans="1:29" ht="30" x14ac:dyDescent="0.25">
      <c r="A65" s="53"/>
      <c r="B65" s="65" t="s">
        <v>175</v>
      </c>
      <c r="C65" s="21"/>
      <c r="D65" s="21"/>
      <c r="E65" s="6"/>
      <c r="F65" s="6"/>
      <c r="G65"/>
      <c r="H65"/>
      <c r="I65"/>
      <c r="J65"/>
      <c r="K65"/>
      <c r="L65"/>
      <c r="M65"/>
      <c r="N65"/>
      <c r="O65"/>
      <c r="P65"/>
      <c r="Q65"/>
      <c r="R65"/>
      <c r="S65"/>
      <c r="T65"/>
      <c r="U65"/>
      <c r="V65"/>
      <c r="W65"/>
      <c r="X65"/>
      <c r="Y65"/>
      <c r="Z65"/>
      <c r="AA65"/>
      <c r="AB65"/>
      <c r="AC65"/>
    </row>
    <row r="66" spans="1:29" x14ac:dyDescent="0.25">
      <c r="A66" s="53"/>
      <c r="B66" s="66" t="s">
        <v>176</v>
      </c>
      <c r="C66" s="21"/>
      <c r="D66" s="21"/>
      <c r="E66" s="6"/>
      <c r="F66" s="6"/>
      <c r="G66"/>
      <c r="H66"/>
      <c r="I66"/>
      <c r="J66"/>
      <c r="K66"/>
      <c r="L66"/>
      <c r="M66"/>
      <c r="N66"/>
      <c r="O66"/>
      <c r="P66"/>
      <c r="Q66"/>
      <c r="R66"/>
      <c r="S66"/>
      <c r="T66"/>
      <c r="U66"/>
      <c r="V66"/>
      <c r="W66"/>
      <c r="X66"/>
      <c r="Y66"/>
      <c r="Z66"/>
      <c r="AA66"/>
      <c r="AB66"/>
      <c r="AC66"/>
    </row>
    <row r="67" spans="1:29" x14ac:dyDescent="0.25">
      <c r="A67" s="53"/>
      <c r="B67" s="22"/>
      <c r="C67" s="21"/>
      <c r="D67" s="21"/>
      <c r="E67" s="6"/>
      <c r="F67" s="6"/>
      <c r="G67"/>
      <c r="H67"/>
      <c r="I67"/>
      <c r="J67"/>
      <c r="K67"/>
      <c r="L67"/>
      <c r="M67"/>
      <c r="N67"/>
      <c r="O67"/>
      <c r="P67"/>
      <c r="Q67"/>
      <c r="R67"/>
      <c r="S67"/>
      <c r="T67"/>
      <c r="U67"/>
      <c r="V67"/>
      <c r="W67"/>
      <c r="X67"/>
      <c r="Y67"/>
      <c r="Z67"/>
      <c r="AA67"/>
      <c r="AB67"/>
      <c r="AC67"/>
    </row>
    <row r="68" spans="1:29" x14ac:dyDescent="0.25">
      <c r="A68" s="21" t="s">
        <v>72</v>
      </c>
      <c r="B68" s="59"/>
      <c r="C68" s="21"/>
      <c r="D68" s="21"/>
      <c r="E68" s="6"/>
      <c r="F68" s="6"/>
      <c r="AA68"/>
      <c r="AB68"/>
      <c r="AC68"/>
    </row>
    <row r="69" spans="1:29" x14ac:dyDescent="0.25">
      <c r="A69" s="3"/>
      <c r="B69" s="22" t="s">
        <v>424</v>
      </c>
      <c r="C69" s="19"/>
      <c r="D69" s="2"/>
      <c r="E69" s="8" t="s">
        <v>61</v>
      </c>
      <c r="F69" s="12" t="s">
        <v>73</v>
      </c>
      <c r="AA69"/>
      <c r="AB69"/>
      <c r="AC69"/>
    </row>
    <row r="70" spans="1:29" x14ac:dyDescent="0.25">
      <c r="A70" s="3"/>
      <c r="B70" s="22" t="s">
        <v>187</v>
      </c>
      <c r="C70" s="19"/>
      <c r="D70" s="2"/>
      <c r="E70" s="8"/>
      <c r="F70" s="12"/>
      <c r="AA70"/>
      <c r="AB70"/>
      <c r="AC70"/>
    </row>
    <row r="71" spans="1:29" ht="30" x14ac:dyDescent="0.25">
      <c r="A71" s="1"/>
      <c r="B71" s="65" t="s">
        <v>181</v>
      </c>
      <c r="E71"/>
      <c r="F71"/>
    </row>
    <row r="72" spans="1:29" x14ac:dyDescent="0.25">
      <c r="A72" s="54"/>
      <c r="B72" s="22" t="s">
        <v>116</v>
      </c>
      <c r="C72" s="22"/>
      <c r="D72" s="2" t="s">
        <v>74</v>
      </c>
      <c r="E72" s="9" t="s">
        <v>64</v>
      </c>
      <c r="F72" s="23" t="s">
        <v>75</v>
      </c>
      <c r="AA72"/>
      <c r="AB72"/>
      <c r="AC72"/>
    </row>
    <row r="73" spans="1:29" x14ac:dyDescent="0.25">
      <c r="A73" s="3"/>
      <c r="B73" s="22" t="s">
        <v>188</v>
      </c>
      <c r="C73" s="19"/>
      <c r="D73" s="2"/>
      <c r="E73" s="8"/>
      <c r="F73" s="12"/>
      <c r="AA73"/>
      <c r="AB73"/>
      <c r="AC73"/>
    </row>
    <row r="74" spans="1:29" x14ac:dyDescent="0.25">
      <c r="A74" s="3"/>
      <c r="B74" s="65" t="s">
        <v>180</v>
      </c>
      <c r="C74" s="19"/>
      <c r="D74" s="2"/>
      <c r="E74" s="8"/>
      <c r="F74" s="12"/>
      <c r="AA74"/>
      <c r="AB74"/>
      <c r="AC74"/>
    </row>
    <row r="75" spans="1:29" x14ac:dyDescent="0.25">
      <c r="A75" s="67"/>
    </row>
    <row r="76" spans="1:29" x14ac:dyDescent="0.25">
      <c r="A76" s="21" t="s">
        <v>226</v>
      </c>
      <c r="B76" s="59"/>
      <c r="C76" s="21"/>
      <c r="D76" s="21"/>
      <c r="E76" s="6"/>
      <c r="F76" s="6"/>
      <c r="AA76"/>
      <c r="AB76"/>
      <c r="AC76"/>
    </row>
    <row r="77" spans="1:29" x14ac:dyDescent="0.25">
      <c r="A77" s="3"/>
      <c r="B77" s="22" t="s">
        <v>432</v>
      </c>
      <c r="C77" s="19"/>
      <c r="D77" s="2"/>
      <c r="E77" s="8" t="s">
        <v>61</v>
      </c>
      <c r="F77" s="12" t="s">
        <v>73</v>
      </c>
      <c r="AA77"/>
      <c r="AB77"/>
      <c r="AC77"/>
    </row>
    <row r="78" spans="1:29" x14ac:dyDescent="0.25">
      <c r="A78" s="3"/>
      <c r="B78" s="22" t="s">
        <v>326</v>
      </c>
      <c r="C78" s="19"/>
      <c r="D78" s="2"/>
      <c r="E78" s="8"/>
      <c r="F78" s="12"/>
      <c r="AA78"/>
      <c r="AB78"/>
      <c r="AC78"/>
    </row>
    <row r="79" spans="1:29" ht="30" x14ac:dyDescent="0.25">
      <c r="A79" s="1"/>
      <c r="B79" s="65" t="s">
        <v>327</v>
      </c>
      <c r="E79"/>
      <c r="F79"/>
    </row>
    <row r="80" spans="1:29" x14ac:dyDescent="0.25">
      <c r="A80" s="1"/>
      <c r="B80" s="61" t="s">
        <v>332</v>
      </c>
      <c r="E80"/>
      <c r="F80"/>
    </row>
    <row r="81" spans="1:29" x14ac:dyDescent="0.25">
      <c r="A81" s="1"/>
      <c r="B81" s="61" t="s">
        <v>329</v>
      </c>
      <c r="E81"/>
      <c r="F81"/>
    </row>
    <row r="82" spans="1:29" x14ac:dyDescent="0.25">
      <c r="A82" s="1"/>
      <c r="B82" s="61" t="s">
        <v>330</v>
      </c>
      <c r="E82"/>
      <c r="F82"/>
    </row>
    <row r="83" spans="1:29" x14ac:dyDescent="0.25">
      <c r="A83" s="3"/>
      <c r="B83" s="65" t="s">
        <v>328</v>
      </c>
      <c r="C83" s="19"/>
      <c r="D83" s="2"/>
      <c r="E83" s="8"/>
      <c r="F83" s="12"/>
      <c r="AA83"/>
      <c r="AB83"/>
      <c r="AC83"/>
    </row>
    <row r="84" spans="1:29" x14ac:dyDescent="0.25">
      <c r="A84" s="1"/>
      <c r="B84" s="61" t="s">
        <v>331</v>
      </c>
      <c r="E84"/>
      <c r="F84"/>
    </row>
    <row r="85" spans="1:29" x14ac:dyDescent="0.25">
      <c r="A85" s="1"/>
      <c r="B85" s="61" t="s">
        <v>333</v>
      </c>
      <c r="E85"/>
      <c r="F85"/>
    </row>
    <row r="86" spans="1:29" x14ac:dyDescent="0.25">
      <c r="A86" s="67"/>
    </row>
    <row r="87" spans="1:29" x14ac:dyDescent="0.25">
      <c r="A87" s="21" t="s">
        <v>192</v>
      </c>
      <c r="B87" s="59"/>
    </row>
    <row r="88" spans="1:29" x14ac:dyDescent="0.25">
      <c r="A88" s="67"/>
      <c r="B88" s="59"/>
    </row>
    <row r="89" spans="1:29" x14ac:dyDescent="0.25">
      <c r="A89" s="67"/>
      <c r="B89" s="59"/>
    </row>
    <row r="90" spans="1:29" x14ac:dyDescent="0.25">
      <c r="A90" s="67"/>
      <c r="B90" s="59"/>
    </row>
    <row r="91" spans="1:29" x14ac:dyDescent="0.25">
      <c r="A91" s="67"/>
      <c r="B91" s="59"/>
    </row>
  </sheetData>
  <mergeCells count="1">
    <mergeCell ref="A1:F1"/>
  </mergeCells>
  <printOptions horizontalCentered="1"/>
  <pageMargins left="0" right="0" top="0.25" bottom="0" header="0" footer="0"/>
  <pageSetup scale="99" fitToHeight="0"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sheetPr>
  <dimension ref="B1:H9"/>
  <sheetViews>
    <sheetView showGridLines="0" zoomScaleNormal="100" workbookViewId="0">
      <selection sqref="A1:F1"/>
    </sheetView>
  </sheetViews>
  <sheetFormatPr defaultRowHeight="30" customHeight="1" x14ac:dyDescent="0.25"/>
  <cols>
    <col min="1" max="1" width="1.85546875" style="175" customWidth="1"/>
    <col min="2" max="2" width="4.85546875" style="175" customWidth="1"/>
    <col min="3" max="3" width="27.28515625" style="175" customWidth="1"/>
    <col min="4" max="4" width="4.42578125" style="175" customWidth="1"/>
    <col min="5" max="6" width="20.5703125" style="175" customWidth="1"/>
    <col min="7" max="8" width="9.140625" style="175"/>
    <col min="9" max="9" width="1.85546875" style="175" customWidth="1"/>
    <col min="10" max="16384" width="9.140625" style="175"/>
  </cols>
  <sheetData>
    <row r="1" spans="2:8" ht="8.25" customHeight="1" x14ac:dyDescent="0.25">
      <c r="B1" s="324" t="s">
        <v>240</v>
      </c>
      <c r="C1" s="324"/>
      <c r="D1" s="324"/>
      <c r="E1" s="324"/>
      <c r="F1" s="324"/>
      <c r="G1" s="324"/>
      <c r="H1" s="324"/>
    </row>
    <row r="2" spans="2:8" ht="38.25" customHeight="1" x14ac:dyDescent="0.25">
      <c r="B2" s="324"/>
      <c r="C2" s="324"/>
      <c r="D2" s="324"/>
      <c r="E2" s="324"/>
      <c r="F2" s="324"/>
      <c r="G2" s="324"/>
      <c r="H2" s="324"/>
    </row>
    <row r="3" spans="2:8" ht="25.5" customHeight="1" x14ac:dyDescent="0.25">
      <c r="B3" s="325" t="s">
        <v>241</v>
      </c>
      <c r="C3" s="325"/>
      <c r="D3" s="325"/>
      <c r="E3" s="325"/>
      <c r="F3" s="325"/>
      <c r="G3" s="325"/>
      <c r="H3" s="325"/>
    </row>
    <row r="4" spans="2:8" ht="30" customHeight="1" thickBot="1" x14ac:dyDescent="0.3">
      <c r="B4" s="326" t="s">
        <v>242</v>
      </c>
      <c r="C4" s="326"/>
      <c r="D4" s="326"/>
    </row>
    <row r="5" spans="2:8" s="202" customFormat="1" ht="30" customHeight="1" x14ac:dyDescent="0.25">
      <c r="B5" s="199">
        <v>1</v>
      </c>
      <c r="C5" s="200" t="s">
        <v>268</v>
      </c>
      <c r="D5" s="201" t="str">
        <f>IF(ISBLANK(C5),"← Please select a value from drop-down",IF(COUNTIF($C$5:C5,C5)&gt;1,"You have selected "&amp;C5&amp;" twice.",""))</f>
        <v/>
      </c>
      <c r="G5" s="175"/>
    </row>
    <row r="6" spans="2:8" s="202" customFormat="1" ht="30" customHeight="1" x14ac:dyDescent="0.25">
      <c r="B6" s="203">
        <v>2</v>
      </c>
      <c r="C6" s="204" t="s">
        <v>310</v>
      </c>
      <c r="D6" s="201" t="str">
        <f>IF(ISBLANK(C6),"← Please select a value from drop-down",IF(COUNTIF($C$5:C6,C6)&gt;1,"You have selected "&amp;C6&amp;" twice.",""))</f>
        <v/>
      </c>
      <c r="G6" s="175"/>
    </row>
    <row r="7" spans="2:8" s="202" customFormat="1" ht="30" customHeight="1" x14ac:dyDescent="0.25">
      <c r="B7" s="203">
        <v>3</v>
      </c>
      <c r="C7" s="205" t="s">
        <v>337</v>
      </c>
      <c r="D7" s="201" t="str">
        <f>IF(ISBLANK(C7),"← Please select a value from drop-down",IF(COUNTIF($C$5:C7,C7)&gt;1,"You have selected "&amp;C7&amp;" twice.",""))</f>
        <v/>
      </c>
      <c r="G7" s="175"/>
    </row>
    <row r="8" spans="2:8" s="202" customFormat="1" ht="30" customHeight="1" x14ac:dyDescent="0.25">
      <c r="B8" s="203">
        <v>4</v>
      </c>
      <c r="C8" s="205" t="s">
        <v>342</v>
      </c>
      <c r="D8" s="201" t="str">
        <f>IF(ISBLANK(C8),"← Please select a value from drop-down",IF(COUNTIF($C$5:C8,C8)&gt;1,"You have selected "&amp;C8&amp;" twice.",""))</f>
        <v/>
      </c>
    </row>
    <row r="9" spans="2:8" s="202" customFormat="1" ht="30" customHeight="1" thickBot="1" x14ac:dyDescent="0.3">
      <c r="B9" s="206">
        <v>5</v>
      </c>
      <c r="C9" s="207" t="s">
        <v>308</v>
      </c>
      <c r="D9" s="201" t="str">
        <f>IF(ISBLANK(C9),"← Please select a value from drop-down",IF(COUNTIF($C$5:C9,C9)&gt;1,"You have selected "&amp;C9&amp;" twice.",""))</f>
        <v/>
      </c>
    </row>
  </sheetData>
  <sheetProtection selectLockedCells="1"/>
  <mergeCells count="3">
    <mergeCell ref="B1:H2"/>
    <mergeCell ref="B3:H3"/>
    <mergeCell ref="B4:D4"/>
  </mergeCells>
  <conditionalFormatting sqref="B5:C9">
    <cfRule type="expression" dxfId="692" priority="1">
      <formula>MOD(ROW(),2)</formula>
    </cfRule>
  </conditionalFormatting>
  <dataValidations count="4">
    <dataValidation type="list" errorStyle="warning" allowBlank="1" showInputMessage="1" showErrorMessage="1" error="Select Key Metric from the list. Select CANCEL, press ALT+DOWN ARROW for options, then DOWN ARROW and ENTER to make selection" prompt="Select Key Metric in this cell. Press ALT+DOWN ARROW for options, then DOWN ARROW and ENTER to make selection" sqref="C5:C9">
      <formula1>lstMetrics</formula1>
    </dataValidation>
    <dataValidation allowBlank="1" showInputMessage="1" showErrorMessage="1" prompt="Navigation link to Financial Report worksheet. Select Key Metrics in cells below, cells C5 through C9" sqref="B4:D4"/>
    <dataValidation allowBlank="1" showInputMessage="1" showErrorMessage="1" prompt="Title of this worksheet is in this cell and tip in cell below" sqref="B1:H2"/>
    <dataValidation allowBlank="1" showInputMessage="1" showErrorMessage="1" prompt="Select Key Metrics to be shown at the top of the annual financial report in this worksheet. Select cell B4 to navigate to Financial Report worksheet" sqref="A1"/>
  </dataValidations>
  <hyperlinks>
    <hyperlink ref="B4:C4" location="'Financial Report'!A1" tooltip="View financial report" display="  Click to view Financial Report"/>
    <hyperlink ref="B4:D4" location="'Financial Report'!A1" tooltip="Select to navigate to Financial Report worksheet" display="  Tap to view Financial Report"/>
  </hyperlinks>
  <pageMargins left="0.7" right="0.7" top="0.75" bottom="0.75" header="0.3" footer="0.3"/>
  <pageSetup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B1:K66"/>
  <sheetViews>
    <sheetView showGridLines="0" zoomScaleNormal="100" workbookViewId="0">
      <pane ySplit="6" topLeftCell="A7" activePane="bottomLeft" state="frozen"/>
      <selection sqref="A1:F1"/>
      <selection pane="bottomLeft" sqref="A1:F1"/>
    </sheetView>
  </sheetViews>
  <sheetFormatPr defaultRowHeight="30" customHeight="1" x14ac:dyDescent="0.25"/>
  <cols>
    <col min="1" max="1" width="1.85546875" style="175" customWidth="1"/>
    <col min="2" max="2" width="24.42578125" style="175" customWidth="1"/>
    <col min="3" max="9" width="19.7109375" style="175" customWidth="1"/>
    <col min="10" max="10" width="1.85546875" style="175" customWidth="1"/>
    <col min="11" max="11" width="9.140625" style="304"/>
    <col min="12" max="16384" width="9.140625" style="175"/>
  </cols>
  <sheetData>
    <row r="1" spans="2:11" ht="8.25" customHeight="1" x14ac:dyDescent="0.25">
      <c r="B1" s="324" t="s">
        <v>237</v>
      </c>
      <c r="C1" s="324"/>
      <c r="D1" s="324"/>
      <c r="E1" s="324"/>
      <c r="F1" s="324"/>
      <c r="G1" s="324"/>
      <c r="H1" s="324"/>
      <c r="I1" s="324"/>
    </row>
    <row r="2" spans="2:11" ht="38.25" customHeight="1" x14ac:dyDescent="0.25">
      <c r="B2" s="324"/>
      <c r="C2" s="324"/>
      <c r="D2" s="324"/>
      <c r="E2" s="324"/>
      <c r="F2" s="324"/>
      <c r="G2" s="324"/>
      <c r="H2" s="324"/>
      <c r="I2" s="324"/>
      <c r="K2" s="219" t="s">
        <v>262</v>
      </c>
    </row>
    <row r="3" spans="2:11" ht="18" x14ac:dyDescent="0.25">
      <c r="B3" s="327" t="s">
        <v>261</v>
      </c>
      <c r="C3" s="327"/>
      <c r="D3" s="327"/>
      <c r="E3" s="327"/>
      <c r="F3" s="327"/>
      <c r="G3" s="327"/>
      <c r="H3" s="327"/>
      <c r="I3" s="327"/>
    </row>
    <row r="4" spans="2:11" ht="18" x14ac:dyDescent="0.25">
      <c r="B4" s="194" t="str">
        <f>'Yr Over Yr Metrics and Trends'!B3:F3</f>
        <v>Vice President for Student Life</v>
      </c>
      <c r="C4" s="195"/>
      <c r="D4" s="195"/>
      <c r="E4" s="195"/>
      <c r="F4" s="195"/>
      <c r="G4" s="195"/>
      <c r="H4" s="195"/>
      <c r="I4" s="195"/>
    </row>
    <row r="5" spans="2:11" ht="25.5" customHeight="1" x14ac:dyDescent="0.25">
      <c r="B5" s="328" t="s">
        <v>238</v>
      </c>
      <c r="C5" s="328"/>
    </row>
    <row r="6" spans="2:11" ht="25.5" customHeight="1" x14ac:dyDescent="0.25">
      <c r="B6" s="196" t="s">
        <v>239</v>
      </c>
      <c r="C6" s="216">
        <v>2014</v>
      </c>
      <c r="D6" s="216">
        <v>2015</v>
      </c>
      <c r="E6" s="216">
        <v>2016</v>
      </c>
      <c r="F6" s="216">
        <v>2017</v>
      </c>
      <c r="G6" s="216">
        <v>2018</v>
      </c>
      <c r="H6" s="216">
        <v>2019</v>
      </c>
      <c r="I6" s="216">
        <v>2020</v>
      </c>
    </row>
    <row r="7" spans="2:11" s="186" customFormat="1" ht="30" customHeight="1" x14ac:dyDescent="0.25">
      <c r="B7" s="197" t="s">
        <v>254</v>
      </c>
      <c r="C7" s="214">
        <f>IF(ISNA(VLOOKUP($B$4,PCards!$A$5:$AW$51,2,FALSE))=TRUE,"DEPT not Found",VLOOKUP($B$4,PCards!$A$5:$AW$51,2,FALSE))</f>
        <v>206</v>
      </c>
      <c r="D7" s="214">
        <f>IF(ISNA(VLOOKUP($B$4,PCards!$A$5:$AU$51,9,FALSE))=TRUE,"DEPT not Found",VLOOKUP($B$4,PCards!$A$5:$AU$51,9,FALSE))</f>
        <v>225</v>
      </c>
      <c r="E7" s="214">
        <f>IF(ISNA(VLOOKUP($B$4,PCards!$A$5:$AU$51,16,FALSE))=TRUE,"DEPT not Found",VLOOKUP($B$4,PCards!$A$5:$AU$51,16,FALSE))</f>
        <v>227</v>
      </c>
      <c r="F7" s="214">
        <f>IF(ISNA(VLOOKUP($B$4,PCards!$A$5:$AU$51,23,FALSE))=TRUE,"DEPT not Found",VLOOKUP($B$4,PCards!$A$5:$AU$51,23,FALSE))</f>
        <v>231</v>
      </c>
      <c r="G7" s="214">
        <f>IF(ISNA(VLOOKUP($B$4,PCards!$A$5:$AU$51,30,FALSE))=TRUE,"DEPT not Found",VLOOKUP($B$4,PCards!$A$5:$AU$51,30,FALSE))</f>
        <v>234</v>
      </c>
      <c r="H7" s="214">
        <f>IF(ISNA(VLOOKUP($B$4,PCards!$A$5:$AU$51,37,FALSE))=TRUE,"DEPT not Found",VLOOKUP($B$4,PCards!$A$5:$AU$51,37,FALSE))</f>
        <v>232</v>
      </c>
      <c r="I7" s="214">
        <f>IF(ISNA(VLOOKUP($B$4,PCards!$A$5:$AU$51,44,FALSE))=TRUE,"DEPT not Found",VLOOKUP($B$4,PCards!$A$5:$AU$51,44,FALSE))</f>
        <v>241</v>
      </c>
      <c r="K7" s="282" t="s">
        <v>402</v>
      </c>
    </row>
    <row r="8" spans="2:11" s="186" customFormat="1" ht="30" customHeight="1" x14ac:dyDescent="0.25">
      <c r="B8" s="197" t="s">
        <v>255</v>
      </c>
      <c r="C8" s="214">
        <f>IF(ISNA(VLOOKUP($B$4,PCards!$A$5:$AW$51,3,FALSE))=TRUE,"DEPT not Found",VLOOKUP($B$4,PCards!$A$5:$AW$51,3,FALSE))</f>
        <v>187</v>
      </c>
      <c r="D8" s="214">
        <f>IF(ISNA(VLOOKUP($B$4,PCards!$A$5:$AU$51,10,FALSE))=TRUE,"DEPT not Found",VLOOKUP($B$4,PCards!$A$5:$AU$51,10,FALSE))</f>
        <v>197</v>
      </c>
      <c r="E8" s="214">
        <f>IF(ISNA(VLOOKUP($B$4,PCards!$A$5:$AU$51,17,FALSE))=TRUE,"DEPT not Found",VLOOKUP($B$4,PCards!$A$5:$AU$51,17,FALSE))</f>
        <v>206</v>
      </c>
      <c r="F8" s="214">
        <f>IF(ISNA(VLOOKUP($B$4,PCards!$A$5:$AU$51,24,FALSE))=TRUE,"DEPT not Found",VLOOKUP($B$4,PCards!$A$5:$AU$51,24,FALSE))</f>
        <v>212</v>
      </c>
      <c r="G8" s="214">
        <f>IF(ISNA(VLOOKUP($B$4,PCards!$A$5:$AU$51,31,FALSE))=TRUE,"DEPT not Found",VLOOKUP($B$4,PCards!$A$5:$AU$51,31,FALSE))</f>
        <v>213</v>
      </c>
      <c r="H8" s="214">
        <f>IF(ISNA(VLOOKUP($B$4,PCards!$A$5:$AU$51,38,FALSE))=TRUE,"DEPT not Found",VLOOKUP($B$4,PCards!$A$5:$AU$51,38,FALSE))</f>
        <v>215</v>
      </c>
      <c r="I8" s="214">
        <f>IF(ISNA(VLOOKUP($B$4,PCards!$A$5:$AU$51,45,FALSE))=TRUE,"DEPT not Found",VLOOKUP($B$4,PCards!$A$5:$AU$51,45,FALSE))</f>
        <v>231</v>
      </c>
      <c r="K8" s="282" t="s">
        <v>402</v>
      </c>
    </row>
    <row r="9" spans="2:11" s="186" customFormat="1" ht="30" customHeight="1" x14ac:dyDescent="0.25">
      <c r="B9" s="197" t="s">
        <v>256</v>
      </c>
      <c r="C9" s="214">
        <f>IF(ISNA(VLOOKUP($B$4,PCards!$A$5:$AU$51,4,FALSE))=TRUE,"DEPT not Found",VLOOKUP($B$4,PCards!$A$5:$AU$51,4,FALSE))</f>
        <v>11</v>
      </c>
      <c r="D9" s="214">
        <f>IF(ISNA(VLOOKUP($B$4,PCards!$A$5:$AU$51,11,FALSE))=TRUE,"DEPT not Found",VLOOKUP($B$4,PCards!$A$5:$AU$51,11,FALSE))</f>
        <v>10</v>
      </c>
      <c r="E9" s="214">
        <f>IF(ISNA(VLOOKUP($B$4,PCards!$A$5:$AU$51,18,FALSE))=TRUE,"DEPT not Found",VLOOKUP($B$4,PCards!$A$5:$AU$51,18,FALSE))</f>
        <v>5</v>
      </c>
      <c r="F9" s="214">
        <f>IF(ISNA(VLOOKUP($B$4,PCards!$A$5:$AU$51,25,FALSE))=TRUE,"DEPT not Found",VLOOKUP($B$4,PCards!$A$5:$AU$51,25,FALSE))</f>
        <v>8</v>
      </c>
      <c r="G9" s="214">
        <f>IF(ISNA(VLOOKUP($B$4,PCards!$A$5:$AU$51,32,FALSE))=TRUE,"DEPT not Found",VLOOKUP($B$4,PCards!$A$5:$AU$51,32,FALSE))</f>
        <v>11</v>
      </c>
      <c r="H9" s="214">
        <f>IF(ISNA(VLOOKUP($B$4,PCards!$A$5:$AU$51,39,FALSE))=TRUE,"DEPT not Found",VLOOKUP($B$4,PCards!$A$5:$AU$51,39,FALSE))</f>
        <v>3</v>
      </c>
      <c r="I9" s="214">
        <f>IF(ISNA(VLOOKUP($B$4,PCards!$A$5:$AU$51,46,FALSE))=TRUE,"DEPT not Found",VLOOKUP($B$4,PCards!$A$5:$AU$51,46,FALSE))</f>
        <v>3</v>
      </c>
      <c r="K9" s="282" t="s">
        <v>402</v>
      </c>
    </row>
    <row r="10" spans="2:11" s="186" customFormat="1" ht="30" customHeight="1" x14ac:dyDescent="0.25">
      <c r="B10" s="197" t="s">
        <v>257</v>
      </c>
      <c r="C10" s="215">
        <f>IF(ISNA(VLOOKUP($B$4,PCards!$A$5:$AU$51,5,FALSE))=TRUE,"DEPT not Found",VLOOKUP($B$4,PCards!$A$5:$AU$51,5,FALSE))</f>
        <v>5.8823529411764705E-2</v>
      </c>
      <c r="D10" s="215">
        <f>IF(ISNA(VLOOKUP($B$4,PCards!$A$5:$AU$51,12,FALSE))=TRUE,"DEPT not Found",VLOOKUP($B$4,PCards!$A$5:$AU$51,12,FALSE))</f>
        <v>5.0761421319796954E-2</v>
      </c>
      <c r="E10" s="215">
        <f>IF(ISNA(VLOOKUP($B$4,PCards!$A$5:$AU$51,19,FALSE))=TRUE,"DEPT not Found",VLOOKUP($B$4,PCards!$A$5:$AU$51,19,FALSE))</f>
        <v>2.4271844660194174E-2</v>
      </c>
      <c r="F10" s="215">
        <f>IF(ISNA(VLOOKUP($B$4,PCards!$A$5:$AU$51,26,FALSE))=TRUE,"DEPT not Found",VLOOKUP($B$4,PCards!$A$5:$AU$51,26,FALSE))</f>
        <v>3.7735849056603772E-2</v>
      </c>
      <c r="G10" s="215">
        <f>IF(ISNA(VLOOKUP($B$4,PCards!$A$5:$AU$51,33,FALSE))=TRUE,"DEPT not Found",VLOOKUP($B$4,PCards!$A$5:$AU$51,33,FALSE))</f>
        <v>5.1643192488262914E-2</v>
      </c>
      <c r="H10" s="215">
        <f>IF(ISNA(VLOOKUP($B$4,PCards!$A$5:$AU$51,40,FALSE))=TRUE,"DEPT not Found",VLOOKUP($B$4,PCards!$A$5:$AU$51,40,FALSE))</f>
        <v>1.3953488372093023E-2</v>
      </c>
      <c r="I10" s="215">
        <f>IF(ISNA(VLOOKUP($B$4,PCards!$A$5:$AU$51,47,FALSE))=TRUE,"DEPT not Found",VLOOKUP($B$4,PCards!$A$5:$AU$51,47,FALSE))</f>
        <v>1.2987012987012988E-2</v>
      </c>
      <c r="K10" s="282" t="s">
        <v>402</v>
      </c>
    </row>
    <row r="11" spans="2:11" s="186" customFormat="1" ht="30" customHeight="1" x14ac:dyDescent="0.25">
      <c r="B11" s="197" t="s">
        <v>258</v>
      </c>
      <c r="C11" s="214">
        <f>IF(ISNA(VLOOKUP($B$4,PCards!$A$5:$AW$51,6,FALSE))=TRUE,"DEPT not Found",VLOOKUP($B$4,PCards!$A$5:$AW$51,6,FALSE))</f>
        <v>4</v>
      </c>
      <c r="D11" s="214">
        <f>IF(ISNA(VLOOKUP($B$4,PCards!$A$5:$AW$51,13,FALSE))=TRUE,"DEPT not Found",VLOOKUP($B$4,PCards!$A$5:$AW$51,13,FALSE))</f>
        <v>5</v>
      </c>
      <c r="E11" s="214">
        <f>IF(ISNA(VLOOKUP($B$4,PCards!$A$5:$AW$51,20,FALSE))=TRUE,"DEPT not Found",VLOOKUP($B$4,PCards!$A$5:$AW$51,20,FALSE))</f>
        <v>6</v>
      </c>
      <c r="F11" s="214">
        <f>IF(ISNA(VLOOKUP($B$4,PCards!$A$5:$AW$51,27,FALSE))=TRUE,"DEPT not Found",VLOOKUP($B$4,PCards!$A$5:$AW$51,27,FALSE))</f>
        <v>1</v>
      </c>
      <c r="G11" s="214">
        <f>IF(ISNA(VLOOKUP($B$4,PCards!$A$5:$AW$51,34,FALSE))=TRUE,"DEPT not Found",VLOOKUP($B$4,PCards!$A$5:$AW$51,34,FALSE))</f>
        <v>1</v>
      </c>
      <c r="H11" s="214">
        <f>IF(ISNA(VLOOKUP($B$4,PCards!$A$5:$AW$51,41,FALSE))=TRUE,"DEPT not Found",VLOOKUP($B$4,PCards!$A$5:$AW$51,41,FALSE))</f>
        <v>2</v>
      </c>
      <c r="I11" s="214">
        <f>IF(ISNA(VLOOKUP($B$4,PCards!$A$5:$AW$51,48,FALSE))=TRUE,"DEPT not Found",VLOOKUP($B$4,PCards!$A$5:$AW$51,48,FALSE))</f>
        <v>9</v>
      </c>
      <c r="K11" s="282" t="s">
        <v>402</v>
      </c>
    </row>
    <row r="12" spans="2:11" s="186" customFormat="1" ht="30" customHeight="1" x14ac:dyDescent="0.25">
      <c r="B12" s="197" t="s">
        <v>259</v>
      </c>
      <c r="C12" s="215">
        <f>IF(ISNA(VLOOKUP($B$4,PCards!$A$5:$AW$51,7,FALSE))=TRUE,"DEPT not Found",VLOOKUP($B$4,PCards!$A$5:$AW$51,7,FALSE))</f>
        <v>2.1390374331550801E-2</v>
      </c>
      <c r="D12" s="215">
        <f>IF(ISNA(VLOOKUP($B$4,PCards!$A$5:$AW$51,14,FALSE))=TRUE,"DEPT not Found",VLOOKUP($B$4,PCards!$A$5:$AW$51,14,FALSE))</f>
        <v>2.5380710659898477E-2</v>
      </c>
      <c r="E12" s="215">
        <f>IF(ISNA(VLOOKUP($B$4,PCards!$A$5:$AW$51,21,FALSE))=TRUE,"DEPT not Found",VLOOKUP($B$4,PCards!$A$5:$AW$51,21,FALSE))</f>
        <v>2.9126213592233011E-2</v>
      </c>
      <c r="F12" s="215">
        <f>IF(ISNA(VLOOKUP($B$4,PCards!$A$5:$AW$51,28,FALSE))=TRUE,"DEPT not Found",VLOOKUP($B$4,PCards!$A$5:$AW$51,28,FALSE))</f>
        <v>4.7169811320754715E-3</v>
      </c>
      <c r="G12" s="215">
        <f>IF(ISNA(VLOOKUP($B$4,PCards!$A$5:$AW$51,35,FALSE))=TRUE,"DEPT not Found",VLOOKUP($B$4,PCards!$A$5:$AW$51,35,FALSE))</f>
        <v>4.6948356807511738E-3</v>
      </c>
      <c r="H12" s="215">
        <f>IF(ISNA(VLOOKUP($B$4,PCards!$A$5:$AW$51,42,FALSE))=TRUE,"DEPT not Found",VLOOKUP($B$4,PCards!$A$5:$AW$51,42,FALSE))</f>
        <v>9.3023255813953487E-3</v>
      </c>
      <c r="I12" s="215">
        <f>IF(ISNA(VLOOKUP($B$4,PCards!$A$5:$AW$51,49,FALSE))=TRUE,"DEPT not Found",VLOOKUP($B$4,PCards!$A$5:$AW$51,49,FALSE))</f>
        <v>3.896103896103896E-2</v>
      </c>
      <c r="K12" s="282" t="s">
        <v>402</v>
      </c>
    </row>
    <row r="13" spans="2:11" s="186" customFormat="1" ht="30" customHeight="1" x14ac:dyDescent="0.25">
      <c r="B13" s="197" t="s">
        <v>266</v>
      </c>
      <c r="C13" s="218">
        <f>IF(ISNA(VLOOKUP($B$4,'Retro Pay'!$A$5:$AP$53,2,FALSE))=TRUE,"DEPT not Found",VLOOKUP($B$4,'Retro Pay'!$A$5:$AP$53,2,FALSE))/1000</f>
        <v>62537.684999999998</v>
      </c>
      <c r="D13" s="218">
        <f>IF(ISNA(VLOOKUP($B$4,'Retro Pay'!$A$5:$AP$53,8,FALSE))=TRUE,"DEPT not Found",VLOOKUP($B$4,'Retro Pay'!$A$5:$AP$53,8,FALSE))/1000</f>
        <v>65149.085729999999</v>
      </c>
      <c r="E13" s="218">
        <f>IF(ISNA(VLOOKUP($B$4,'Retro Pay'!$A$5:$AP$53,14,FALSE))=TRUE,"DEPT not Found",VLOOKUP($B$4,'Retro Pay'!$A$5:$AP$53,14,FALSE))/1000</f>
        <v>68121.723159999994</v>
      </c>
      <c r="F13" s="218">
        <f>IF(ISNA(VLOOKUP($B$4,'Retro Pay'!$A$5:$AP$53,20,FALSE))=TRUE,"DEPT not Found",VLOOKUP($B$4,'Retro Pay'!$A$5:$AP$53,20,FALSE))/1000</f>
        <v>71782.569750000039</v>
      </c>
      <c r="G13" s="218">
        <f>IF(ISNA(VLOOKUP($B$4,'Retro Pay'!$A$5:$AP$53,26,FALSE))=TRUE,"DEPT not Found",VLOOKUP($B$4,'Retro Pay'!$A$5:$AP$53,26,FALSE))/1000</f>
        <v>76130.350800000015</v>
      </c>
      <c r="H13" s="218">
        <f>IF(ISNA(VLOOKUP($B$4,'Retro Pay'!$A$5:$AP$53,32,FALSE))=TRUE,"DEPT not Found",VLOOKUP($B$4,'Retro Pay'!$A$5:$AP$53,32,FALSE))/1000</f>
        <v>79474.313180000012</v>
      </c>
      <c r="I13" s="218">
        <f>IF(ISNA(VLOOKUP($B$4,'Retro Pay'!$A$5:$AP$53,38,FALSE))=TRUE,"DEPT not Found",VLOOKUP($B$4,'Retro Pay'!$A$5:$AP$53,38,FALSE))/1000</f>
        <v>81494.837350000031</v>
      </c>
      <c r="K13" s="282" t="s">
        <v>130</v>
      </c>
    </row>
    <row r="14" spans="2:11" s="186" customFormat="1" ht="30" customHeight="1" x14ac:dyDescent="0.25">
      <c r="B14" s="197" t="s">
        <v>268</v>
      </c>
      <c r="C14" s="218">
        <f>IF(ISNA(VLOOKUP($B$4,'Retro Pay'!$A$5:$AP$53,3,FALSE))=TRUE,"DEPT not Found",VLOOKUP($B$4,'Retro Pay'!$A$5:$AP$53,3,FALSE))/1000</f>
        <v>660.47699999999998</v>
      </c>
      <c r="D14" s="218">
        <f>IF(ISNA(VLOOKUP($B$4,'Retro Pay'!$A$5:$AP$53,9,FALSE))=TRUE,"DEPT not Found",VLOOKUP($B$4,'Retro Pay'!$A$5:$AP$53,9,FALSE))/1000</f>
        <v>1500.3954500000007</v>
      </c>
      <c r="E14" s="218">
        <f>IF(ISNA(VLOOKUP($B$4,'Retro Pay'!$A$5:$AP$53,15,FALSE))=TRUE,"DEPT not Found",VLOOKUP($B$4,'Retro Pay'!$A$5:$AP$53,15,FALSE))/1000</f>
        <v>1081.2899</v>
      </c>
      <c r="F14" s="218">
        <f>IF(ISNA(VLOOKUP($B$4,'Retro Pay'!$A$5:$AP$53,21,FALSE))=TRUE,"DEPT not Found",VLOOKUP($B$4,'Retro Pay'!$A$5:$AP$53,21,FALSE))/1000</f>
        <v>669.56615000000011</v>
      </c>
      <c r="G14" s="218">
        <f>IF(ISNA(VLOOKUP($B$4,'Retro Pay'!$A$5:$AP$53,27,FALSE))=TRUE,"DEPT not Found",VLOOKUP($B$4,'Retro Pay'!$A$5:$AP$53,27,FALSE))/1000</f>
        <v>794.53362000000004</v>
      </c>
      <c r="H14" s="218">
        <f>IF(ISNA(VLOOKUP($B$4,'Retro Pay'!$A$5:$AP$53,33,FALSE))=TRUE,"DEPT not Found",VLOOKUP($B$4,'Retro Pay'!$A$5:$AP$53,33,FALSE))/1000</f>
        <v>675.09770000000003</v>
      </c>
      <c r="I14" s="218">
        <f>IF(ISNA(VLOOKUP($B$4,'Retro Pay'!$A$5:$AP$53,39,FALSE))=TRUE,"DEPT not Found",VLOOKUP($B$4,'Retro Pay'!$A$5:$AP$53,39,FALSE))/1000</f>
        <v>737.61124000000052</v>
      </c>
      <c r="K14" s="282" t="s">
        <v>130</v>
      </c>
    </row>
    <row r="15" spans="2:11" s="186" customFormat="1" ht="30" customHeight="1" x14ac:dyDescent="0.25">
      <c r="B15" s="197" t="s">
        <v>310</v>
      </c>
      <c r="C15" s="218">
        <f>IF(ISNA(VLOOKUP($B$4,'Retro Pay'!$A$5:$AP$53,5,FALSE))=TRUE,"DEPT not Found",VLOOKUP($B$4,'Retro Pay'!$A$5:$AP$53,5,FALSE))/1000</f>
        <v>94.512</v>
      </c>
      <c r="D15" s="218">
        <f>IF(ISNA(VLOOKUP($B$4,'Retro Pay'!$A$5:$AP$53,11,FALSE))=TRUE,"DEPT not Found",VLOOKUP($B$4,'Retro Pay'!$A$5:$AP$53,11,FALSE))/1000</f>
        <v>755.78257999999983</v>
      </c>
      <c r="E15" s="218">
        <f>IF(ISNA(VLOOKUP($B$4,'Retro Pay'!$A$5:$AP$53,17,FALSE))=TRUE,"DEPT not Found",VLOOKUP($B$4,'Retro Pay'!$A$5:$AP$53,17,FALSE))/1000</f>
        <v>217.19247999999996</v>
      </c>
      <c r="F15" s="218">
        <f>IF(ISNA(VLOOKUP($B$4,'Retro Pay'!$A$5:$AP$53,23,FALSE))=TRUE,"DEPT not Found",VLOOKUP($B$4,'Retro Pay'!$A$5:$AP$53,23,FALSE))/1000</f>
        <v>82.073789999999988</v>
      </c>
      <c r="G15" s="218">
        <f>IF(ISNA(VLOOKUP($B$4,'Retro Pay'!$A$5:$AP$53,29,FALSE))=TRUE,"DEPT not Found",VLOOKUP($B$4,'Retro Pay'!$A$5:$AP$53,29,FALSE))/1000</f>
        <v>207.64295999999999</v>
      </c>
      <c r="H15" s="218">
        <f>IF(ISNA(VLOOKUP($B$4,'Retro Pay'!$A$5:$AP$53,35,FALSE))=TRUE,"DEPT not Found",VLOOKUP($B$4,'Retro Pay'!$A$5:$AP$53,35,FALSE))/1000</f>
        <v>167.25851999999998</v>
      </c>
      <c r="I15" s="218">
        <f>IF(ISNA(VLOOKUP($B$4,'Retro Pay'!$A$5:$AP$53,41,FALSE))=TRUE,"DEPT not Found",VLOOKUP($B$4,'Retro Pay'!$A$5:$AP$53,41,FALSE))/1000</f>
        <v>96.481699999999961</v>
      </c>
      <c r="K15" s="282" t="s">
        <v>130</v>
      </c>
    </row>
    <row r="16" spans="2:11" s="186" customFormat="1" ht="30" customHeight="1" x14ac:dyDescent="0.25">
      <c r="B16" s="197" t="s">
        <v>267</v>
      </c>
      <c r="C16" s="215">
        <f>IF(ISNA(VLOOKUP($B$4,'Retro Pay'!$A$5:$AP$53,4,FALSE))=TRUE,"DEPT not Found",VLOOKUP($B$4,'Retro Pay'!$A$5:$AP$53,4,FALSE))</f>
        <v>1.0561263980270456E-2</v>
      </c>
      <c r="D16" s="215">
        <f>IF(ISNA(VLOOKUP($B$4,'Retro Pay'!$A$5:$AP$53,10,FALSE))=TRUE,"DEPT not Found",VLOOKUP($B$4,'Retro Pay'!$A$5:$AP$53,10,FALSE))</f>
        <v>2.303018427945636E-2</v>
      </c>
      <c r="E16" s="215">
        <f>IF(ISNA(VLOOKUP($B$4,'Retro Pay'!$A$5:$AP$53,16,FALSE))=TRUE,"DEPT not Found",VLOOKUP($B$4,'Retro Pay'!$A$5:$AP$53,16,FALSE))</f>
        <v>1.5872908814422302E-2</v>
      </c>
      <c r="F16" s="215">
        <f>IF(ISNA(VLOOKUP($B$4,'Retro Pay'!$A$5:$AP$53,22,FALSE))=TRUE,"DEPT not Found",VLOOKUP($B$4,'Retro Pay'!$A$5:$AP$53,22,FALSE))</f>
        <v>9.3276982466903077E-3</v>
      </c>
      <c r="G16" s="215">
        <f>IF(ISNA(VLOOKUP($B$4,'Retro Pay'!$A$5:$AP$53,28,FALSE))=TRUE,"DEPT not Found",VLOOKUP($B$4,'Retro Pay'!$A$5:$AP$53,28,FALSE))</f>
        <v>1.0436489673971131E-2</v>
      </c>
      <c r="H16" s="215">
        <f>IF(ISNA(VLOOKUP($B$4,'Retro Pay'!$A$5:$AP$53,34,FALSE))=TRUE,"DEPT not Found",VLOOKUP($B$4,'Retro Pay'!$A$5:$AP$53,34,FALSE))</f>
        <v>8.4945395938305617E-3</v>
      </c>
      <c r="I16" s="215">
        <f>IF(ISNA(VLOOKUP($B$4,'Retro Pay'!$A$5:$AP$53,40,FALSE))=TRUE,"DEPT not Found",VLOOKUP($B$4,'Retro Pay'!$A$5:$AP$53,40,FALSE))</f>
        <v>9.051018002921388E-3</v>
      </c>
      <c r="K16" s="282" t="s">
        <v>130</v>
      </c>
    </row>
    <row r="17" spans="2:11" s="186" customFormat="1" ht="30" customHeight="1" x14ac:dyDescent="0.25">
      <c r="B17" s="197" t="s">
        <v>269</v>
      </c>
      <c r="C17" s="215">
        <f>IF(ISNA(VLOOKUP($B$4,'Retro Pay'!$A$5:$AP$53,6,FALSE))=TRUE,"DEPT not Found",VLOOKUP($B$4,'Retro Pay'!$A$5:$AP$53,6,FALSE))</f>
        <v>1.5112807581540634E-3</v>
      </c>
      <c r="D17" s="215">
        <f>IF(ISNA(VLOOKUP($B$4,'Retro Pay'!$A$5:$AP$53,12,FALSE))=TRUE,"DEPT not Found",VLOOKUP($B$4,'Retro Pay'!$A$5:$AP$53,12,FALSE))</f>
        <v>1.160081636651388E-2</v>
      </c>
      <c r="E17" s="215">
        <f>IF(ISNA(VLOOKUP($B$4,'Retro Pay'!$A$5:$AP$53,18,FALSE))=TRUE,"DEPT not Found",VLOOKUP($B$4,'Retro Pay'!$A$5:$AP$53,18,FALSE))</f>
        <v>3.1882998539228373E-3</v>
      </c>
      <c r="F17" s="215">
        <f>IF(ISNA(VLOOKUP($B$4,'Retro Pay'!$A$5:$AP$53,24,FALSE))=TRUE,"DEPT not Found",VLOOKUP($B$4,'Retro Pay'!$A$5:$AP$53,24,FALSE))</f>
        <v>1.2597842176963424E-3</v>
      </c>
      <c r="G17" s="215">
        <f>IF(ISNA(VLOOKUP($B$4,'Retro Pay'!$A$5:$AP$53,30,FALSE))=TRUE,"DEPT not Found",VLOOKUP($B$4,'Retro Pay'!$A$5:$AP$53,30,FALSE))</f>
        <v>2.7274662183744982E-3</v>
      </c>
      <c r="H17" s="215">
        <f>IF(ISNA(VLOOKUP($B$4,'Retro Pay'!$A$5:$AP$53,36,FALSE))=TRUE,"DEPT not Found",VLOOKUP($B$4,'Retro Pay'!$A$5:$AP$53,36,FALSE))</f>
        <v>2.1045607480894997E-3</v>
      </c>
      <c r="I17" s="215">
        <f>IF(ISNA(VLOOKUP($B$4,'Retro Pay'!$A$5:$AP$53,42,FALSE))=TRUE,"DEPT not Found",VLOOKUP($B$4,'Retro Pay'!$A$5:$AP$53,42,FALSE))</f>
        <v>1.1838995344654179E-3</v>
      </c>
      <c r="K17" s="282" t="s">
        <v>130</v>
      </c>
    </row>
    <row r="18" spans="2:11" s="186" customFormat="1" ht="30" customHeight="1" x14ac:dyDescent="0.25">
      <c r="B18" s="197" t="s">
        <v>266</v>
      </c>
      <c r="C18" s="218"/>
      <c r="D18" s="218">
        <f>IF(ISNA(VLOOKUP($B$4,'SP Retro Pay'!$A$5:$AJ$53,2,FALSE))=TRUE,"DEPT not Found",VLOOKUP($B$4,'SP Retro Pay'!$A$5:$AJ$53,2,FALSE))/1000</f>
        <v>30.51</v>
      </c>
      <c r="E18" s="218">
        <f>IF(ISNA(VLOOKUP($B$4,'SP Retro Pay'!$A$5:$AJ$53,8,FALSE))=TRUE,"DEPT not Found",VLOOKUP($B$4,'SP Retro Pay'!$A$5:$AJ$53,8,FALSE))/1000</f>
        <v>54.935000000000002</v>
      </c>
      <c r="F18" s="218">
        <f>IF(ISNA(VLOOKUP($B$4,'SP Retro Pay'!$A$5:$AJ$53,14,FALSE))=TRUE,"DEPT not Found",VLOOKUP($B$4,'SP Retro Pay'!$A$5:$AJ$53,14,FALSE))/1000</f>
        <v>27.970400000000001</v>
      </c>
      <c r="G18" s="218">
        <f>IF(ISNA(VLOOKUP($B$4,'SP Retro Pay'!$A$5:$AJ$53,20,FALSE))=TRUE,"DEPT not Found",VLOOKUP($B$4,'SP Retro Pay'!$A$5:$AJ$53,20,FALSE))/1000</f>
        <v>34.646640000000005</v>
      </c>
      <c r="H18" s="218">
        <f>IF(ISNA(VLOOKUP($B$4,'SP Retro Pay'!$A$5:$AJ$53,26,FALSE))=TRUE,"DEPT not Found",VLOOKUP($B$4,'SP Retro Pay'!$A$5:$AJ$53,26,FALSE))/1000</f>
        <v>44.032240000000016</v>
      </c>
      <c r="I18" s="218">
        <f>IF(ISNA(VLOOKUP($B$4,'SP Retro Pay'!$A$5:$AJ$53,32,FALSE))=TRUE,"DEPT not Found",VLOOKUP($B$4,'SP Retro Pay'!$A$5:$AJ$53,32,FALSE))/1000</f>
        <v>143.0073100000001</v>
      </c>
      <c r="K18" s="282" t="s">
        <v>403</v>
      </c>
    </row>
    <row r="19" spans="2:11" s="186" customFormat="1" ht="30" customHeight="1" x14ac:dyDescent="0.25">
      <c r="B19" s="197" t="s">
        <v>268</v>
      </c>
      <c r="C19" s="218"/>
      <c r="D19" s="218">
        <f>IF(ISNA(VLOOKUP($B$4,'SP Retro Pay'!$A$5:$AJ$53,3,FALSE))=TRUE,"DEPT not Found",VLOOKUP($B$4,'SP Retro Pay'!$A$5:$AJ$53,3,FALSE))/1000</f>
        <v>0.43680000000000002</v>
      </c>
      <c r="E19" s="218">
        <f>IF(ISNA(VLOOKUP($B$4,'SP Retro Pay'!$A$5:$AJ$53,9,FALSE))=TRUE,"DEPT not Found",VLOOKUP($B$4,'SP Retro Pay'!$A$5:$AJ$53,9,FALSE))/1000</f>
        <v>1.46</v>
      </c>
      <c r="F19" s="218">
        <f>IF(ISNA(VLOOKUP($B$4,'SP Retro Pay'!$A$5:$AJ$53,15,FALSE))=TRUE,"DEPT not Found",VLOOKUP($B$4,'SP Retro Pay'!$A$5:$AJ$53,15,FALSE))/1000</f>
        <v>1.1269</v>
      </c>
      <c r="G19" s="218">
        <f>IF(ISNA(VLOOKUP($B$4,'SP Retro Pay'!$A$5:$AJ$53,21,FALSE))=TRUE,"DEPT not Found",VLOOKUP($B$4,'SP Retro Pay'!$A$5:$AJ$53,21,FALSE))/1000</f>
        <v>6.0459300000000002</v>
      </c>
      <c r="H19" s="218">
        <f>IF(ISNA(VLOOKUP($B$4,'SP Retro Pay'!$A$5:$AJ$53,27,FALSE))=TRUE,"DEPT not Found",VLOOKUP($B$4,'SP Retro Pay'!$A$5:$AJ$53,27,FALSE))/1000</f>
        <v>2.8926100000000003</v>
      </c>
      <c r="I19" s="218">
        <f>IF(ISNA(VLOOKUP($B$4,'SP Retro Pay'!$A$5:$AJ$53,33,FALSE))=TRUE,"DEPT not Found",VLOOKUP($B$4,'SP Retro Pay'!$A$5:$AJ$53,33,FALSE))/1000</f>
        <v>18.705289999999998</v>
      </c>
      <c r="K19" s="282" t="s">
        <v>403</v>
      </c>
    </row>
    <row r="20" spans="2:11" s="186" customFormat="1" ht="30" customHeight="1" x14ac:dyDescent="0.25">
      <c r="B20" s="197" t="s">
        <v>270</v>
      </c>
      <c r="C20" s="218"/>
      <c r="D20" s="218">
        <f>IF(ISNA(VLOOKUP($B$4,'SP Retro Pay'!$A$5:$AJ$53,5,FALSE))=TRUE,"DEPT not Found",VLOOKUP($B$4,'SP Retro Pay'!$A$5:$AJ$53,5,FALSE))/1000</f>
        <v>0</v>
      </c>
      <c r="E20" s="218">
        <f>IF(ISNA(VLOOKUP($B$4,'SP Retro Pay'!$A$5:$AJ$53,11,FALSE))=TRUE,"DEPT not Found",VLOOKUP($B$4,'SP Retro Pay'!$A$5:$AJ$53,11,FALSE))/1000</f>
        <v>0</v>
      </c>
      <c r="F20" s="218">
        <f>IF(ISNA(VLOOKUP($B$4,'SP Retro Pay'!$A$5:$AJ$53,17,FALSE))=TRUE,"DEPT not Found",VLOOKUP($B$4,'SP Retro Pay'!$A$5:$AJ$53,17,FALSE))/1000</f>
        <v>0.3</v>
      </c>
      <c r="G20" s="218">
        <f>IF(ISNA(VLOOKUP($B$4,'SP Retro Pay'!$A$5:$AJ$53,23,FALSE))=TRUE,"DEPT not Found",VLOOKUP($B$4,'SP Retro Pay'!$A$5:$AJ$53,23,FALSE))/1000</f>
        <v>1.6084699999999996</v>
      </c>
      <c r="H20" s="218">
        <f>IF(ISNA(VLOOKUP($B$4,'SP Retro Pay'!$A$5:$AJ$53,29,FALSE))=TRUE,"DEPT not Found",VLOOKUP($B$4,'SP Retro Pay'!$A$5:$AJ$53,29,FALSE))/1000</f>
        <v>0</v>
      </c>
      <c r="I20" s="218">
        <f>IF(ISNA(VLOOKUP($B$4,'SP Retro Pay'!$A$5:$AJ$53,35,FALSE))=TRUE,"DEPT not Found",VLOOKUP($B$4,'SP Retro Pay'!$A$5:$AJ$53,35,FALSE))/1000</f>
        <v>0.36535000000000001</v>
      </c>
      <c r="K20" s="282" t="s">
        <v>403</v>
      </c>
    </row>
    <row r="21" spans="2:11" s="186" customFormat="1" ht="30" customHeight="1" x14ac:dyDescent="0.25">
      <c r="B21" s="197" t="s">
        <v>267</v>
      </c>
      <c r="C21" s="215"/>
      <c r="D21" s="215">
        <f>IF(ISNA(VLOOKUP($B$4,'SP Retro Pay'!$A$5:$AJ$53,4,FALSE))=TRUE,"DEPT not Found",VLOOKUP($B$4,'SP Retro Pay'!$A$5:$AJ$53,4,FALSE))</f>
        <v>1.4316617502458211E-2</v>
      </c>
      <c r="E21" s="215">
        <f>IF(ISNA(VLOOKUP($B$4,'SP Retro Pay'!$A$5:$AJ$53,10,FALSE))=TRUE,"DEPT not Found",VLOOKUP($B$4,'SP Retro Pay'!$A$5:$AJ$53,10,FALSE))</f>
        <v>2.6576863566032585E-2</v>
      </c>
      <c r="F21" s="215">
        <f>IF(ISNA(VLOOKUP($B$4,'SP Retro Pay'!$A$5:$AJ$53,16,FALSE))=TRUE,"DEPT not Found",VLOOKUP($B$4,'SP Retro Pay'!$A$5:$AJ$53,16,FALSE))</f>
        <v>4.0289019820953578E-2</v>
      </c>
      <c r="G21" s="215">
        <f>IF(ISNA(VLOOKUP($B$4,'SP Retro Pay'!$A$5:$AJ$53,22,FALSE))=TRUE,"DEPT not Found",VLOOKUP($B$4,'SP Retro Pay'!$A$5:$AJ$53,22,FALSE))</f>
        <v>0.17450263575342367</v>
      </c>
      <c r="H21" s="215">
        <f>IF(ISNA(VLOOKUP($B$4,'SP Retro Pay'!$A$5:$AJ$53,28,FALSE))=TRUE,"DEPT not Found",VLOOKUP($B$4,'SP Retro Pay'!$A$5:$AJ$53,28,FALSE))</f>
        <v>8.348890397452681E-2</v>
      </c>
      <c r="I21" s="215">
        <f>IF(ISNA(VLOOKUP($B$4,'SP Retro Pay'!$A$5:$AJ$53,34,FALSE))=TRUE,"DEPT not Found",VLOOKUP($B$4,'SP Retro Pay'!$A$5:$AJ$53,34,FALSE))</f>
        <v>0.13079953745021833</v>
      </c>
      <c r="K21" s="282" t="s">
        <v>403</v>
      </c>
    </row>
    <row r="22" spans="2:11" ht="30" customHeight="1" x14ac:dyDescent="0.25">
      <c r="B22" s="197" t="s">
        <v>271</v>
      </c>
      <c r="C22" s="215"/>
      <c r="D22" s="215">
        <f>IF(ISNA(VLOOKUP($B$4,'SP Retro Pay'!$A$5:$AJ$53,6,FALSE))=TRUE,"DEPT not Found",VLOOKUP($B$4,'SP Retro Pay'!$A$5:$AJ$53,6,FALSE))</f>
        <v>0</v>
      </c>
      <c r="E22" s="215">
        <f>IF(ISNA(VLOOKUP($B$4,'SP Retro Pay'!$A$5:$AJ$53,12,FALSE))=TRUE,"DEPT not Found",VLOOKUP($B$4,'SP Retro Pay'!$A$5:$AJ$53,12,FALSE))</f>
        <v>0</v>
      </c>
      <c r="F22" s="215">
        <f>IF(ISNA(VLOOKUP($B$4,'SP Retro Pay'!$A$5:$AJ$53,18,FALSE))=TRUE,"DEPT not Found",VLOOKUP($B$4,'SP Retro Pay'!$A$5:$AJ$53,18,FALSE))</f>
        <v>1.0725624231330264E-2</v>
      </c>
      <c r="G22" s="215">
        <f>IF(ISNA(VLOOKUP($B$4,'SP Retro Pay'!$A$5:$AJ$53,24,FALSE))=TRUE,"DEPT not Found",VLOOKUP($B$4,'SP Retro Pay'!$A$5:$AJ$53,24,FALSE))</f>
        <v>4.6424992437939128E-2</v>
      </c>
      <c r="H22" s="215">
        <f>IF(ISNA(VLOOKUP($B$4,'SP Retro Pay'!$A$5:$AJ$53,30,FALSE))=TRUE,"DEPT not Found",VLOOKUP($B$4,'SP Retro Pay'!$A$5:$AJ$53,30,FALSE))</f>
        <v>0</v>
      </c>
      <c r="I22" s="215">
        <f>IF(ISNA(VLOOKUP($B$4,'SP Retro Pay'!$A$5:$AJ$53,36,FALSE))=TRUE,"DEPT not Found",VLOOKUP($B$4,'SP Retro Pay'!$A$5:$AJ$53,36,FALSE))</f>
        <v>2.5547645081919219E-3</v>
      </c>
      <c r="K22" s="282" t="s">
        <v>403</v>
      </c>
    </row>
    <row r="23" spans="2:11" s="186" customFormat="1" ht="30" customHeight="1" x14ac:dyDescent="0.25">
      <c r="B23" s="197" t="s">
        <v>272</v>
      </c>
      <c r="C23" s="214"/>
      <c r="D23" s="214">
        <f>IF(ISNA(VLOOKUP($B$4,'Effort Cert'!$A$5:$S$53,2,FALSE))=TRUE,"Dept not Found",VLOOKUP($B$4,'Effort Cert'!$A$5:$S$53,2,FALSE))</f>
        <v>42</v>
      </c>
      <c r="E23" s="214">
        <f>IF(ISNA(VLOOKUP($B$4,'Effort Cert'!$A$5:$S$53,5,FALSE))=TRUE,"Dept not Found",VLOOKUP($B$4,'Effort Cert'!$A$5:$S$53,5,FALSE))</f>
        <v>46</v>
      </c>
      <c r="F23" s="214">
        <f>IF(ISNA(VLOOKUP($B$4,'Effort Cert'!$A$5:$S$53,8,FALSE))=TRUE,"Dept not Found",VLOOKUP($B$4,'Effort Cert'!$A$5:$S$53,8,FALSE))</f>
        <v>39</v>
      </c>
      <c r="G23" s="214">
        <f>IF(ISNA(VLOOKUP($B$4,'Effort Cert'!$A$5:$S$53,11,FALSE))=TRUE,"Dept not Found",VLOOKUP($B$4,'Effort Cert'!$A$5:$S$53,11,FALSE))</f>
        <v>40</v>
      </c>
      <c r="H23" s="214">
        <f>IF(ISNA(VLOOKUP($B$4,'Effort Cert'!$A$5:$S$53,14,FALSE))=TRUE,"Dept not Found",VLOOKUP($B$4,'Effort Cert'!$A$5:$S$53,14,FALSE))</f>
        <v>15</v>
      </c>
      <c r="I23" s="214">
        <f>IF(ISNA(VLOOKUP($B$4,'Effort Cert'!$A$5:$S$53,17,FALSE))=TRUE,"Dept not Found",VLOOKUP($B$4,'Effort Cert'!$A$5:$S$53,17,FALSE))</f>
        <v>0</v>
      </c>
      <c r="K23" s="282" t="s">
        <v>404</v>
      </c>
    </row>
    <row r="24" spans="2:11" ht="30" customHeight="1" x14ac:dyDescent="0.25">
      <c r="B24" s="197" t="s">
        <v>273</v>
      </c>
      <c r="C24" s="214"/>
      <c r="D24" s="214">
        <f>IF(ISNA(VLOOKUP($B$4,'Effort Cert'!$A$5:$S$53,3,FALSE))=TRUE,"Dept not Found",VLOOKUP($B$4,'Effort Cert'!$A$5:$S$53,3,FALSE))</f>
        <v>27</v>
      </c>
      <c r="E24" s="214">
        <f>IF(ISNA(VLOOKUP($B$4,'Effort Cert'!$A$5:$S$53,6,FALSE))=TRUE,"Dept not Found",VLOOKUP($B$4,'Effort Cert'!$A$5:$S$53,6,FALSE))</f>
        <v>32</v>
      </c>
      <c r="F24" s="214">
        <f>IF(ISNA(VLOOKUP($B$4,'Effort Cert'!$A$5:$S$53,9,FALSE))=TRUE,"Dept not Found",VLOOKUP($B$4,'Effort Cert'!$A$5:$S$53,9,FALSE))</f>
        <v>37</v>
      </c>
      <c r="G24" s="214">
        <f>IF(ISNA(VLOOKUP($B$4,'Effort Cert'!$A$5:$S$53,12,FALSE))=TRUE,"Dept not Found",VLOOKUP($B$4,'Effort Cert'!$A$5:$S$53,12,FALSE))</f>
        <v>37</v>
      </c>
      <c r="H24" s="214">
        <f>IF(ISNA(VLOOKUP($B$4,'Effort Cert'!$A$5:$S$53,15,FALSE))=TRUE,"Dept not Found",VLOOKUP($B$4,'Effort Cert'!$A$5:$S$53,15,FALSE))</f>
        <v>15</v>
      </c>
      <c r="I24" s="214">
        <f>IF(ISNA(VLOOKUP($B$4,'Effort Cert'!$A$5:$S$53,18,FALSE))=TRUE,"Dept not Found",VLOOKUP($B$4,'Effort Cert'!$A$5:$S$53,18,FALSE))</f>
        <v>0</v>
      </c>
      <c r="K24" s="282" t="s">
        <v>404</v>
      </c>
    </row>
    <row r="25" spans="2:11" ht="30" customHeight="1" x14ac:dyDescent="0.25">
      <c r="B25" s="197" t="s">
        <v>274</v>
      </c>
      <c r="C25" s="214"/>
      <c r="D25" s="215">
        <f>IF(ISNA(VLOOKUP($B$4,'Effort Cert'!$A$5:$S$53,4,FALSE))=TRUE,"Dept not Found",VLOOKUP($B$4,'Effort Cert'!$A$5:$S$53,4,FALSE))</f>
        <v>0.6428571428571429</v>
      </c>
      <c r="E25" s="215">
        <f>IF(ISNA(VLOOKUP($B$4,'Effort Cert'!$A$5:$S$53,7,FALSE))=TRUE,"Dept not Found",VLOOKUP($B$4,'Effort Cert'!$A$5:$S$53,7,FALSE))</f>
        <v>0.69565217391304346</v>
      </c>
      <c r="F25" s="215">
        <f>IF(ISNA(VLOOKUP($B$4,'Effort Cert'!$A$5:$S$53,10,FALSE))=TRUE,"Dept not Found",VLOOKUP($B$4,'Effort Cert'!$A$5:$S$53,10,FALSE))</f>
        <v>0.94871794871794868</v>
      </c>
      <c r="G25" s="215">
        <f>IF(ISNA(VLOOKUP($B$4,'Effort Cert'!$A$5:$S$53,13,FALSE))=TRUE,"Dept not Found",VLOOKUP($B$4,'Effort Cert'!$A$5:$S$53,13,FALSE))</f>
        <v>0.92500000000000004</v>
      </c>
      <c r="H25" s="215">
        <f>IF(ISNA(VLOOKUP($B$4,'Effort Cert'!$A$5:$S$53,16,FALSE))=TRUE,"Dept not Found",VLOOKUP($B$4,'Effort Cert'!$A$5:$S$53,16,FALSE))</f>
        <v>1</v>
      </c>
      <c r="I25" s="215" t="e">
        <f>IF(ISNA(VLOOKUP($B$4,'Effort Cert'!$A$5:$S$53,19,FALSE))=TRUE,"Dept not Found",VLOOKUP($B$4,'Effort Cert'!$A$5:$S$53,19,FALSE))</f>
        <v>#DIV/0!</v>
      </c>
      <c r="K25" s="282" t="s">
        <v>404</v>
      </c>
    </row>
    <row r="26" spans="2:11" ht="30" customHeight="1" x14ac:dyDescent="0.25">
      <c r="B26" s="197" t="s">
        <v>276</v>
      </c>
      <c r="C26" s="214">
        <f>IF(ISNA(VLOOKUP($B$4,'Cash Handling'!$A$5:$AQ$53,2,FALSE))=TRUE,"Dept not Found",VLOOKUP($B$4,'Cash Handling'!$A$5:$AQ$53,2,FALSE))</f>
        <v>26</v>
      </c>
      <c r="D26" s="214">
        <f>IF(ISNA(VLOOKUP($B$4,'Cash Handling'!$A$5:$AQ$53,6,FALSE))=TRUE,"Dept not Found",VLOOKUP($B$4,'Cash Handling'!$A$5:$AQ$53,6,FALSE))</f>
        <v>49</v>
      </c>
      <c r="E26" s="214">
        <f>IF(ISNA(VLOOKUP($B$4,'Cash Handling'!$A$5:$AQ$53,13,FALSE))=TRUE,"Dept not Found",VLOOKUP($B$4,'Cash Handling'!$A$5:$AQ$53,13,FALSE))</f>
        <v>51</v>
      </c>
      <c r="F26" s="214">
        <f>IF(ISNA(VLOOKUP($B$4,'Cash Handling'!$A$5:$AQ$53,17,FALSE))=TRUE,"Dept not Found",VLOOKUP($B$4,'Cash Handling'!$A$5:$AQ$53,17,FALSE))</f>
        <v>84</v>
      </c>
      <c r="G26" s="214">
        <f>IF(ISNA(VLOOKUP($B$4,'Cash Handling'!$A$5:$AQ$53,24,FALSE))=TRUE,"Dept not Found",VLOOKUP($B$4,'Cash Handling'!$A$5:$AQ$53,24,FALSE))</f>
        <v>48</v>
      </c>
      <c r="H26" s="214">
        <f>IF(ISNA(VLOOKUP($B$4,'Cash Handling'!$A$5:$AQ$53,31,FALSE))=TRUE,"Dept not Found",VLOOKUP($B$4,'Cash Handling'!$A$5:$AQ$53,31,FALSE))</f>
        <v>43</v>
      </c>
      <c r="I26" s="214">
        <f>IF(ISNA(VLOOKUP($B$4,'Cash Handling'!$A$5:$AQ$53,38,FALSE))=TRUE,"Dept not Found",VLOOKUP($B$4,'Cash Handling'!$A$5:$AQ$53,38,FALSE))</f>
        <v>44</v>
      </c>
      <c r="K26" s="282" t="s">
        <v>338</v>
      </c>
    </row>
    <row r="27" spans="2:11" ht="30" customHeight="1" x14ac:dyDescent="0.25">
      <c r="B27" s="197" t="s">
        <v>277</v>
      </c>
      <c r="C27" s="214">
        <f>IF(ISNA(VLOOKUP($B$4,'Cash Handling'!$A$5:$AQ$53,3,FALSE))=TRUE,"Dept not Found",VLOOKUP($B$4,'Cash Handling'!$A$5:$AQ$53,3,FALSE))</f>
        <v>3237</v>
      </c>
      <c r="D27" s="214">
        <f>IF(ISNA(VLOOKUP($B$4,'Cash Handling'!$A$5:$AQ$53,7,FALSE))=TRUE,"Dept not Found",VLOOKUP($B$4,'Cash Handling'!$A$5:$AQ$53,7,FALSE))</f>
        <v>5909</v>
      </c>
      <c r="E27" s="214">
        <f>IF(ISNA(VLOOKUP($B$4,'Cash Handling'!$A$5:$AQ$53,14,FALSE))=TRUE,"Dept not Found",VLOOKUP($B$4,'Cash Handling'!$A$5:$AQ$53,14,FALSE))</f>
        <v>6545</v>
      </c>
      <c r="F27" s="214">
        <f>IF(ISNA(VLOOKUP($B$4,'Cash Handling'!$A$5:$AQ$53,18,FALSE))=TRUE,"Dept not Found",VLOOKUP($B$4,'Cash Handling'!$A$5:$AQ$53,18,FALSE))</f>
        <v>6039</v>
      </c>
      <c r="G27" s="214">
        <f>IF(ISNA(VLOOKUP($B$4,'Cash Handling'!$A$5:$AQ$53,25,FALSE))=TRUE,"Dept not Found",VLOOKUP($B$4,'Cash Handling'!$A$5:$AQ$53,25,FALSE))</f>
        <v>5789</v>
      </c>
      <c r="H27" s="214">
        <f>IF(ISNA(VLOOKUP($B$4,'Cash Handling'!$A$5:$AQ$53,32,FALSE))=TRUE,"Dept not Found",VLOOKUP($B$4,'Cash Handling'!$A$5:$AQ$53,32,FALSE))</f>
        <v>4992</v>
      </c>
      <c r="I27" s="214">
        <f>IF(ISNA(VLOOKUP($B$4,'Cash Handling'!$A$5:$AQ$53,39,FALSE))=TRUE,"Dept not Found",VLOOKUP($B$4,'Cash Handling'!$A$5:$AQ$53,39,FALSE))</f>
        <v>3621</v>
      </c>
      <c r="K27" s="282" t="s">
        <v>338</v>
      </c>
    </row>
    <row r="28" spans="2:11" ht="30" customHeight="1" x14ac:dyDescent="0.25">
      <c r="B28" s="197" t="s">
        <v>337</v>
      </c>
      <c r="C28" s="218">
        <f>IF(ISNA(VLOOKUP($B$4,'Cash Handling'!$A$5:$AQ$53,4,FALSE))=TRUE,"Dept not Found",VLOOKUP($B$4,'Cash Handling'!$A$5:$AQ$53,4,FALSE))/1000</f>
        <v>12527.17117</v>
      </c>
      <c r="D28" s="218">
        <f>IF(ISNA(VLOOKUP($B$4,'Cash Handling'!$A$5:$AQ$53,8,FALSE))=TRUE,"Dept not Found",VLOOKUP($B$4,'Cash Handling'!$A$5:$AQ$53,8,FALSE))/1000</f>
        <v>12029.07893</v>
      </c>
      <c r="E28" s="218">
        <f>IF(ISNA(VLOOKUP($B$4,'Cash Handling'!$A$5:$AQ$53,15,FALSE))=TRUE,"Dept not Found",VLOOKUP($B$4,'Cash Handling'!$A$5:$AQ$53,15,FALSE))/1000</f>
        <v>9527.0562899999986</v>
      </c>
      <c r="F28" s="218">
        <f>IF(ISNA(VLOOKUP($B$4,'Cash Handling'!$A$5:$AQ$53,19,FALSE))=TRUE,"Dept not Found",VLOOKUP($B$4,'Cash Handling'!$A$5:$AQ$53,19,FALSE))/1000</f>
        <v>10256.590900000001</v>
      </c>
      <c r="G28" s="218">
        <f>IF(ISNA(VLOOKUP($B$4,'Cash Handling'!$A$5:$AQ$53,26,FALSE))=TRUE,"Dept not Found",VLOOKUP($B$4,'Cash Handling'!$A$5:$AQ$53,26,FALSE))/1000</f>
        <v>9550.445029999999</v>
      </c>
      <c r="H28" s="218">
        <f>IF(ISNA(VLOOKUP($B$4,'Cash Handling'!$A$5:$AQ$53,33,FALSE))=TRUE,"Dept not Found",VLOOKUP($B$4,'Cash Handling'!$A$5:$AQ$53,33,FALSE))/1000</f>
        <v>10040.762879999998</v>
      </c>
      <c r="I28" s="218">
        <f>IF(ISNA(VLOOKUP($B$4,'Cash Handling'!$A$5:$AQ$53,40,FALSE))=TRUE,"Dept not Found",VLOOKUP($B$4,'Cash Handling'!$A$5:$AQ$53,40,FALSE))/1000</f>
        <v>6432.9769400000005</v>
      </c>
      <c r="K28" s="282" t="s">
        <v>338</v>
      </c>
    </row>
    <row r="29" spans="2:11" ht="30" customHeight="1" x14ac:dyDescent="0.25">
      <c r="B29" s="197" t="s">
        <v>278</v>
      </c>
      <c r="C29" s="214"/>
      <c r="D29" s="214">
        <f>IF(ISNA(VLOOKUP($B$4,'Cash Handling'!$A$5:$AQ$53,9,FALSE))=TRUE,"Dept not Found",VLOOKUP($B$4,'Cash Handling'!$A$5:$AQ$53,9,FALSE))</f>
        <v>73</v>
      </c>
      <c r="E29" s="214"/>
      <c r="F29" s="214">
        <f>IF(ISNA(VLOOKUP($B$4,'Cash Handling'!$A$5:$AQ$53,20,FALSE))=TRUE,"Dept not Found",VLOOKUP($B$4,'Cash Handling'!$A$5:$AQ$53,20,FALSE))</f>
        <v>70</v>
      </c>
      <c r="G29" s="214">
        <f>IF(ISNA(VLOOKUP($B$4,'Cash Handling'!$A$5:$AQ$53,27,FALSE))=TRUE,"Dept not Found",VLOOKUP($B$4,'Cash Handling'!$A$5:$AQ$53,27,FALSE))</f>
        <v>116</v>
      </c>
      <c r="H29" s="214">
        <f>IF(ISNA(VLOOKUP($B$4,'Cash Handling'!$A$5:$AQ$53,34,FALSE))=TRUE,"Dept not Found",VLOOKUP($B$4,'Cash Handling'!$A$5:$AQ$53,34,FALSE))</f>
        <v>106</v>
      </c>
      <c r="I29" s="214">
        <f>IF(ISNA(VLOOKUP($B$4,'Cash Handling'!$A$5:$AQ$53,41,FALSE))=TRUE,"Dept not Found",VLOOKUP($B$4,'Cash Handling'!$A$5:$AQ$53,41,FALSE))</f>
        <v>140</v>
      </c>
      <c r="K29" s="282" t="s">
        <v>338</v>
      </c>
    </row>
    <row r="30" spans="2:11" ht="30" customHeight="1" x14ac:dyDescent="0.25">
      <c r="B30" s="197" t="s">
        <v>279</v>
      </c>
      <c r="C30" s="198"/>
      <c r="D30" s="214">
        <f>IF(ISNA(VLOOKUP($B$4,'Cash Handling'!$A$5:$AQ$53,10,FALSE))=TRUE,"Dept not Found",VLOOKUP($B$4,'Cash Handling'!$A$5:$AQ$53,10,FALSE))</f>
        <v>52</v>
      </c>
      <c r="E30" s="214"/>
      <c r="F30" s="214">
        <f>IF(ISNA(VLOOKUP($B$4,'Cash Handling'!$A$5:$AQ$53,21,FALSE))=TRUE,"Dept not Found",VLOOKUP($B$4,'Cash Handling'!$A$5:$AQ$53,21,FALSE))</f>
        <v>45</v>
      </c>
      <c r="G30" s="214">
        <f>IF(ISNA(VLOOKUP($B$4,'Cash Handling'!$A$5:$AQ$53,28,FALSE))=TRUE,"Dept not Found",VLOOKUP($B$4,'Cash Handling'!$A$5:$AQ$53,28,FALSE))</f>
        <v>67</v>
      </c>
      <c r="H30" s="214">
        <f>IF(ISNA(VLOOKUP($B$4,'Cash Handling'!$A$5:$AQ$53,35,FALSE))=TRUE,"Dept not Found",VLOOKUP($B$4,'Cash Handling'!$A$5:$AQ$53,35,FALSE))</f>
        <v>69</v>
      </c>
      <c r="I30" s="214">
        <f>IF(ISNA(VLOOKUP($B$4,'Cash Handling'!$A$5:$AQ$53,42,FALSE))=TRUE,"Dept not Found",VLOOKUP($B$4,'Cash Handling'!$A$5:$AQ$53,42,FALSE))</f>
        <v>102</v>
      </c>
      <c r="K30" s="282" t="s">
        <v>338</v>
      </c>
    </row>
    <row r="31" spans="2:11" ht="30" customHeight="1" x14ac:dyDescent="0.25">
      <c r="B31" s="197" t="s">
        <v>280</v>
      </c>
      <c r="C31" s="198"/>
      <c r="D31" s="215">
        <f>IF(ISNA(VLOOKUP($B$4,'Cash Handling'!$A$5:$AQ$53,11,FALSE))=TRUE,"Dept not Found",VLOOKUP($B$4,'Cash Handling'!$A$5:$AQ$53,11,FALSE))</f>
        <v>0.71232876712328763</v>
      </c>
      <c r="E31" s="215"/>
      <c r="F31" s="215">
        <f>IF(ISNA(VLOOKUP($B$4,'Cash Handling'!$A$5:$AQ$53,22,FALSE))=TRUE,"Dept not Found",VLOOKUP($B$4,'Cash Handling'!$A$5:$AQ$53,22,FALSE))</f>
        <v>0.6428571428571429</v>
      </c>
      <c r="G31" s="215">
        <f>IF(ISNA(VLOOKUP($B$4,'Cash Handling'!$A$5:$AQ$53,29,FALSE))=TRUE,"Dept not Found",VLOOKUP($B$4,'Cash Handling'!$A$5:$AQ$53,29,FALSE))</f>
        <v>0.57758620689655171</v>
      </c>
      <c r="H31" s="215">
        <f>IF(ISNA(VLOOKUP($B$4,'Cash Handling'!$A$5:$AQ$53,36,FALSE))=TRUE,"Dept not Found",VLOOKUP($B$4,'Cash Handling'!$A$5:$AQ$53,36,FALSE))</f>
        <v>0.65094339622641506</v>
      </c>
      <c r="I31" s="215">
        <f>IF(ISNA(VLOOKUP($B$4,'Cash Handling'!$A$5:$AQ$53,43,FALSE))=TRUE,"Dept not Found",VLOOKUP($B$4,'Cash Handling'!$A$5:$AQ$53,43,FALSE))</f>
        <v>0.72857142857142854</v>
      </c>
      <c r="K31" s="282" t="s">
        <v>338</v>
      </c>
    </row>
    <row r="32" spans="2:11" ht="30" customHeight="1" x14ac:dyDescent="0.25">
      <c r="B32" s="197" t="s">
        <v>281</v>
      </c>
      <c r="C32" s="214">
        <f>IF(ISNA(VLOOKUP($B$4,'Credit Card'!$A$5:$BO$53,2,FALSE))=TRUE,"Dept not Found",VLOOKUP($B$4,'Credit Card'!$A$5:$BO$53,2,FALSE))</f>
        <v>51</v>
      </c>
      <c r="D32" s="214">
        <f>IF(ISNA(VLOOKUP($B$4,'Credit Card'!$A$5:$BO$53,6,FALSE))=TRUE,"Dept not Found",VLOOKUP($B$4,'Credit Card'!$A$5:$BO$53,6,FALSE))</f>
        <v>56</v>
      </c>
      <c r="E32" s="214">
        <f>IF(ISNA(VLOOKUP($B$4,'Credit Card'!$A$5:$BO$53,17,FALSE))=TRUE,"Dept not Found",VLOOKUP($B$4,'Credit Card'!$A$5:$BO$53,17,FALSE))</f>
        <v>55</v>
      </c>
      <c r="F32" s="214">
        <f>IF(ISNA(VLOOKUP($B$4,'Credit Card'!$A$5:$BO$53,25,FALSE))=TRUE,"Dept not Found",VLOOKUP($B$4,'Credit Card'!$A$5:$BO$53,25,FALSE))</f>
        <v>56</v>
      </c>
      <c r="G32" s="214">
        <f>IF(ISNA(VLOOKUP($B$4,'Credit Card'!$A$5:$BO$53,36,FALSE))=TRUE,"Dept not Found",VLOOKUP($B$4,'Credit Card'!$A$5:$BO$53,36,FALSE))</f>
        <v>54</v>
      </c>
      <c r="H32" s="214">
        <f>IF(ISNA(VLOOKUP($B$4,'Credit Card'!$A$5:$BO$53,47,FALSE))=TRUE,"Dept not Found",VLOOKUP($B$4,'Credit Card'!$A$5:$BO$53,47,FALSE))</f>
        <v>50</v>
      </c>
      <c r="I32" s="214">
        <f>IF(ISNA(VLOOKUP($B$4,'Credit Card'!$A$5:$BO$53,58,FALSE))=TRUE,"Dept not Found",VLOOKUP($B$4,'Credit Card'!$A$5:$BO$53,58,FALSE))</f>
        <v>55</v>
      </c>
      <c r="K32" s="310" t="s">
        <v>339</v>
      </c>
    </row>
    <row r="33" spans="2:11" ht="30" customHeight="1" x14ac:dyDescent="0.25">
      <c r="B33" s="197" t="s">
        <v>282</v>
      </c>
      <c r="C33" s="214">
        <f>IF(ISNA(VLOOKUP($B$4,'Credit Card'!$A$5:$BO$53,3,FALSE))=TRUE,"Dept not Found",VLOOKUP($B$4,'Credit Card'!$A$5:$BO$53,3,FALSE))</f>
        <v>50</v>
      </c>
      <c r="D33" s="214">
        <f>IF(ISNA(VLOOKUP($B$4,'Credit Card'!$A$5:$BO$53,7,FALSE))=TRUE,"Dept not Found",VLOOKUP($B$4,'Credit Card'!$A$5:$BO$53,7,FALSE))</f>
        <v>56</v>
      </c>
      <c r="E33" s="214">
        <f>IF(ISNA(VLOOKUP($B$4,'Credit Card'!$A$5:$BO$53,18,FALSE))=TRUE,"Dept not Found",VLOOKUP($B$4,'Credit Card'!$A$5:$BO$53,18,FALSE))</f>
        <v>45</v>
      </c>
      <c r="F33" s="214">
        <f>IF(ISNA(VLOOKUP($B$4,'Credit Card'!$A$5:$BO$53,26,FALSE))=TRUE,"Dept not Found",VLOOKUP($B$4,'Credit Card'!$A$5:$BO$53,26,FALSE))</f>
        <v>42</v>
      </c>
      <c r="G33" s="214">
        <f>IF(ISNA(VLOOKUP($B$4,'Credit Card'!$A$5:$BO$53,37,FALSE))=TRUE,"Dept not Found",VLOOKUP($B$4,'Credit Card'!$A$5:$BO$53,37,FALSE))</f>
        <v>52</v>
      </c>
      <c r="H33" s="214">
        <f>IF(ISNA(VLOOKUP($B$4,'Credit Card'!$A$5:$BO$53,48,FALSE))=TRUE,"Dept not Found",VLOOKUP($B$4,'Credit Card'!$A$5:$BO$53,48,FALSE))</f>
        <v>47</v>
      </c>
      <c r="I33" s="214">
        <f>IF(ISNA(VLOOKUP($B$4,'Credit Card'!$A$5:$BO$53,59,FALSE))=TRUE,"Dept not Found",VLOOKUP($B$4,'Credit Card'!$A$5:$BO$53,59,FALSE))</f>
        <v>48</v>
      </c>
      <c r="K33" s="310" t="s">
        <v>339</v>
      </c>
    </row>
    <row r="34" spans="2:11" ht="30" customHeight="1" x14ac:dyDescent="0.25">
      <c r="B34" s="197" t="s">
        <v>283</v>
      </c>
      <c r="C34" s="215">
        <f>IF(ISNA(VLOOKUP($B$4,'Credit Card'!$A$5:$BO$53,4,FALSE))=TRUE,"Dept not Found",VLOOKUP($B$4,'Credit Card'!$A$5:$BO$53,4,FALSE))</f>
        <v>0.98039215686274506</v>
      </c>
      <c r="D34" s="215">
        <f>IF(ISNA(VLOOKUP($B$4,'Credit Card'!$A$5:$BO$53,8,FALSE))=TRUE,"Dept not Found",VLOOKUP($B$4,'Credit Card'!$A$5:$BO$53,8,FALSE))</f>
        <v>1</v>
      </c>
      <c r="E34" s="215">
        <f>IF(ISNA(VLOOKUP($B$4,'Credit Card'!$A$5:$BO$53,19,FALSE))=TRUE,"Dept not Found",VLOOKUP($B$4,'Credit Card'!$A$5:$BO$53,19,FALSE))</f>
        <v>0.81818181818181823</v>
      </c>
      <c r="F34" s="215">
        <f>IF(ISNA(VLOOKUP($B$4,'Credit Card'!$A$5:$BO$53,27,FALSE))=TRUE,"Dept not Found",VLOOKUP($B$4,'Credit Card'!$A$5:$BO$53,27,FALSE))</f>
        <v>0.75</v>
      </c>
      <c r="G34" s="215">
        <f>IF(ISNA(VLOOKUP($B$4,'Credit Card'!$A$5:$BO$53,38,FALSE))=TRUE,"Dept not Found",VLOOKUP($B$4,'Credit Card'!$A$5:$BO$53,38,FALSE))</f>
        <v>0.96296296296296291</v>
      </c>
      <c r="H34" s="215">
        <f>IF(ISNA(VLOOKUP($B$4,'Credit Card'!$A$5:$BO$53,49,FALSE))=TRUE,"Dept not Found",VLOOKUP($B$4,'Credit Card'!$A$5:$BO$53,49,FALSE))</f>
        <v>0.94</v>
      </c>
      <c r="I34" s="215">
        <f>IF(ISNA(VLOOKUP($B$4,'Credit Card'!$A$5:$BO$53,60,FALSE))=TRUE,"Dept not Found",VLOOKUP($B$4,'Credit Card'!$A$5:$BO$53,60,FALSE))</f>
        <v>0.87272727272727268</v>
      </c>
      <c r="K34" s="310" t="s">
        <v>339</v>
      </c>
    </row>
    <row r="35" spans="2:11" ht="30" customHeight="1" x14ac:dyDescent="0.25">
      <c r="B35" s="197" t="s">
        <v>284</v>
      </c>
      <c r="D35" s="214">
        <f>IF(ISNA(VLOOKUP($B$4,'Credit Card'!$A$5:$BO$53,9,FALSE))=TRUE,"Dept not Found",VLOOKUP($B$4,'Credit Card'!$A$5:$BO$53,9,FALSE))</f>
        <v>1005759</v>
      </c>
      <c r="E35" s="214">
        <f>IF(ISNA(VLOOKUP($B$4,'Credit Card'!$A$5:$BO$53,20,FALSE))=TRUE,"Dept not Found",VLOOKUP($B$4,'Credit Card'!$A$5:$BO$53,20,FALSE))</f>
        <v>1064559</v>
      </c>
      <c r="F35" s="214">
        <f>IF(ISNA(VLOOKUP($B$4,'Credit Card'!$A$5:$BO$53,28,FALSE))=TRUE,"Dept not Found",VLOOKUP($B$4,'Credit Card'!$A$5:$BO$53,28,FALSE))</f>
        <v>1216259</v>
      </c>
      <c r="G35" s="214">
        <f>IF(ISNA(VLOOKUP($B$4,'Credit Card'!$A$5:$BO$53,39,FALSE))=TRUE,"Dept not Found",VLOOKUP($B$4,'Credit Card'!$A$5:$BO$53,39,FALSE))</f>
        <v>1258413</v>
      </c>
      <c r="H35" s="214">
        <f>IF(ISNA(VLOOKUP($B$4,'Credit Card'!$A$5:$BO$53,50,FALSE))=TRUE,"Dept not Found",VLOOKUP($B$4,'Credit Card'!$A$5:$BO$53,50,FALSE))</f>
        <v>1242335</v>
      </c>
      <c r="I35" s="214">
        <f>IF(ISNA(VLOOKUP($B$4,'Credit Card'!$A$5:$BO$53,61,FALSE))=TRUE,"Dept not Found",VLOOKUP($B$4,'Credit Card'!$A$5:$BO$53,61,FALSE))</f>
        <v>955328</v>
      </c>
      <c r="K35" s="310" t="s">
        <v>339</v>
      </c>
    </row>
    <row r="36" spans="2:11" ht="30" customHeight="1" x14ac:dyDescent="0.25">
      <c r="B36" s="197" t="s">
        <v>340</v>
      </c>
      <c r="C36" s="218"/>
      <c r="D36" s="218">
        <f>IF(ISNA(VLOOKUP($B$4,'Credit Card'!$A$5:$BO$53,10,FALSE))=TRUE,"Dept not Found",VLOOKUP($B$4,'Credit Card'!$A$5:$BO$53,10,FALSE))/1000</f>
        <v>12498.526379999998</v>
      </c>
      <c r="E36" s="218">
        <f>IF(ISNA(VLOOKUP($B$4,'Credit Card'!$A$5:$BO$53,21,FALSE))=TRUE,"Dept not Found",VLOOKUP($B$4,'Credit Card'!$A$5:$BO$53,21,FALSE))/1000</f>
        <v>13735.016200000002</v>
      </c>
      <c r="F36" s="218">
        <f>IF(ISNA(VLOOKUP($B$4,'Credit Card'!$A$5:$BO$53,29,FALSE))=TRUE,"Dept not Found",VLOOKUP($B$4,'Credit Card'!$A$5:$BO$53,29,FALSE))/1000</f>
        <v>14897.130689999996</v>
      </c>
      <c r="G36" s="218">
        <f>IF(ISNA(VLOOKUP($B$4,'Credit Card'!$A$5:$BO$53,40,FALSE))=TRUE,"Dept not Found",VLOOKUP($B$4,'Credit Card'!$A$5:$BO$53,40,FALSE))/1000</f>
        <v>17671.264090000001</v>
      </c>
      <c r="H36" s="218">
        <f>IF(ISNA(VLOOKUP($B$4,'Credit Card'!$A$5:$BO$53,51,FALSE))=TRUE,"Dept not Found",VLOOKUP($B$4,'Credit Card'!$A$5:$BO$53,51,FALSE))/1000</f>
        <v>16636.398400000005</v>
      </c>
      <c r="I36" s="218">
        <f>IF(ISNA(VLOOKUP($B$4,'Credit Card'!$A$5:$BO$53,62,FALSE))=TRUE,"Dept not Found",VLOOKUP($B$4,'Credit Card'!$A$5:$BO$53,62,FALSE))/1000</f>
        <v>13358.086080000001</v>
      </c>
      <c r="K36" s="310" t="s">
        <v>339</v>
      </c>
    </row>
    <row r="37" spans="2:11" ht="30" customHeight="1" x14ac:dyDescent="0.25">
      <c r="B37" s="197" t="s">
        <v>285</v>
      </c>
      <c r="C37" s="198"/>
      <c r="D37" s="214">
        <f>IF(ISNA(VLOOKUP($B$4,'Credit Card'!$A$5:$BO$53,11,FALSE))=TRUE,"Dept not Found",VLOOKUP($B$4,'Credit Card'!$A$5:$BO$53,11,FALSE))</f>
        <v>1976</v>
      </c>
      <c r="E37" s="214">
        <f>IF(ISNA(VLOOKUP($B$4,'Credit Card'!$A$5:$BO$53,22,FALSE))=TRUE,"Dept not Found",VLOOKUP($B$4,'Credit Card'!$A$5:$BO$53,22,FALSE))</f>
        <v>1714</v>
      </c>
      <c r="F37" s="214">
        <f>IF(ISNA(VLOOKUP($B$4,'Credit Card'!$A$5:$BO$53,30,FALSE))=TRUE,"Dept not Found",VLOOKUP($B$4,'Credit Card'!$A$5:$BO$53,30,FALSE))</f>
        <v>2099</v>
      </c>
      <c r="G37" s="214">
        <f>IF(ISNA(VLOOKUP($B$4,'Credit Card'!$A$5:$BO$53,41,FALSE))=TRUE,"Dept not Found",VLOOKUP($B$4,'Credit Card'!$A$5:$BO$53,41,FALSE))</f>
        <v>1637</v>
      </c>
      <c r="H37" s="214">
        <f>IF(ISNA(VLOOKUP($B$4,'Credit Card'!$A$5:$BO$53,52,FALSE))=TRUE,"Dept not Found",VLOOKUP($B$4,'Credit Card'!$A$5:$BO$53,52,FALSE))</f>
        <v>1344</v>
      </c>
      <c r="I37" s="214">
        <f>IF(ISNA(VLOOKUP($B$4,'Credit Card'!$A$5:$BO$53,63,FALSE))=TRUE,"Dept not Found",VLOOKUP($B$4,'Credit Card'!$A$5:$BO$53,63,FALSE))</f>
        <v>6125</v>
      </c>
      <c r="K37" s="310" t="s">
        <v>339</v>
      </c>
    </row>
    <row r="38" spans="2:11" ht="30" customHeight="1" x14ac:dyDescent="0.25">
      <c r="B38" s="197" t="s">
        <v>286</v>
      </c>
      <c r="C38" s="198"/>
      <c r="D38" s="218">
        <f>IF(ISNA(VLOOKUP($B$4,'Credit Card'!$A$5:$BO$53,12,FALSE))=TRUE,"Dept not Found",VLOOKUP($B$4,'Credit Card'!$A$5:$BO$53,12,FALSE))/1000</f>
        <v>264.87297000000007</v>
      </c>
      <c r="E38" s="218">
        <f>IF(ISNA(VLOOKUP($B$4,'Credit Card'!$A$5:$BO$53,23,FALSE))=TRUE,"Dept not Found",VLOOKUP($B$4,'Credit Card'!$A$5:$BO$53,23,FALSE))/1000</f>
        <v>262.18099999999998</v>
      </c>
      <c r="F38" s="218">
        <f>IF(ISNA(VLOOKUP($B$4,'Credit Card'!$A$5:$BO$53,31,FALSE))=TRUE,"Dept not Found",VLOOKUP($B$4,'Credit Card'!$A$5:$BO$53,31,FALSE))/1000</f>
        <v>274.74182000000002</v>
      </c>
      <c r="G38" s="218">
        <f>IF(ISNA(VLOOKUP($B$4,'Credit Card'!$A$5:$BO$53,42,FALSE))=TRUE,"Dept not Found",VLOOKUP($B$4,'Credit Card'!$A$5:$BO$53,42,FALSE))/1000</f>
        <v>307.18218999999988</v>
      </c>
      <c r="H38" s="218">
        <f>IF(ISNA(VLOOKUP($B$4,'Credit Card'!$A$5:$BO$53,53,FALSE))=TRUE,"Dept not Found",VLOOKUP($B$4,'Credit Card'!$A$5:$BO$53,53,FALSE))/1000</f>
        <v>289.03195000000005</v>
      </c>
      <c r="I38" s="218">
        <f>IF(ISNA(VLOOKUP($B$4,'Credit Card'!$A$5:$BO$53,64,FALSE))=TRUE,"Dept not Found",VLOOKUP($B$4,'Credit Card'!$A$5:$BO$53,64,FALSE))/1000</f>
        <v>824.94928999999991</v>
      </c>
      <c r="K38" s="310" t="s">
        <v>339</v>
      </c>
    </row>
    <row r="39" spans="2:11" ht="30" customHeight="1" x14ac:dyDescent="0.25">
      <c r="B39" s="197" t="s">
        <v>287</v>
      </c>
      <c r="C39" s="198"/>
      <c r="D39" s="214">
        <f>IF(ISNA(VLOOKUP($B$4,'Credit Card'!$A$5:$BO$53,13,FALSE))=TRUE,"Dept not Found",VLOOKUP($B$4,'Credit Card'!$A$5:$BO$53,13,FALSE))</f>
        <v>66</v>
      </c>
      <c r="E39" s="214"/>
      <c r="F39" s="214">
        <f>IF(ISNA(VLOOKUP($B$4,'Credit Card'!$A$5:$BO$53,32,FALSE))=TRUE,"Dept not Found",VLOOKUP($B$4,'Credit Card'!$A$5:$BO$53,32,FALSE))</f>
        <v>48</v>
      </c>
      <c r="G39" s="214">
        <f>IF(ISNA(VLOOKUP($B$4,'Credit Card'!$A$5:$BO$53,43,FALSE))=TRUE,"Dept not Found",VLOOKUP($B$4,'Credit Card'!$A$5:$BO$53,43,FALSE))</f>
        <v>49</v>
      </c>
      <c r="H39" s="214">
        <f>IF(ISNA(VLOOKUP($B$4,'Credit Card'!$A$5:$BO$53,54,FALSE))=TRUE,"Dept not Found",VLOOKUP($B$4,'Credit Card'!$A$5:$BO$53,54,FALSE))</f>
        <v>40</v>
      </c>
      <c r="I39" s="214">
        <f>IF(ISNA(VLOOKUP($B$4,'Credit Card'!$A$5:$BO$53,65,FALSE))=TRUE,"Dept not Found",VLOOKUP($B$4,'Credit Card'!$A$5:$BO$53,65,FALSE))</f>
        <v>44</v>
      </c>
      <c r="K39" s="310" t="s">
        <v>339</v>
      </c>
    </row>
    <row r="40" spans="2:11" ht="30" customHeight="1" x14ac:dyDescent="0.25">
      <c r="B40" s="197" t="s">
        <v>288</v>
      </c>
      <c r="C40" s="198"/>
      <c r="D40" s="214">
        <f>IF(ISNA(VLOOKUP($B$4,'Credit Card'!$A$5:$BO$53,14,FALSE))=TRUE,"Dept not Found",VLOOKUP($B$4,'Credit Card'!$A$5:$BO$53,14,FALSE))</f>
        <v>24</v>
      </c>
      <c r="E40" s="214"/>
      <c r="F40" s="214">
        <f>IF(ISNA(VLOOKUP($B$4,'Credit Card'!$A$5:$BO$53,33,FALSE))=TRUE,"Dept not Found",VLOOKUP($B$4,'Credit Card'!$A$5:$BO$53,33,FALSE))</f>
        <v>21</v>
      </c>
      <c r="G40" s="214">
        <f>IF(ISNA(VLOOKUP($B$4,'Credit Card'!$A$5:$BO$53,44,FALSE))=TRUE,"Dept not Found",VLOOKUP($B$4,'Credit Card'!$A$5:$BO$53,44,FALSE))</f>
        <v>23</v>
      </c>
      <c r="H40" s="214">
        <f>IF(ISNA(VLOOKUP($B$4,'Credit Card'!$A$5:$BO$53,55,FALSE))=TRUE,"Dept not Found",VLOOKUP($B$4,'Credit Card'!$A$5:$BO$53,55,FALSE))</f>
        <v>20</v>
      </c>
      <c r="I40" s="214">
        <f>IF(ISNA(VLOOKUP($B$4,'Credit Card'!$A$5:$BO$53,66,FALSE))=TRUE,"Dept not Found",VLOOKUP($B$4,'Credit Card'!$A$5:$BO$53,66,FALSE))</f>
        <v>40</v>
      </c>
      <c r="K40" s="310" t="s">
        <v>339</v>
      </c>
    </row>
    <row r="41" spans="2:11" ht="30" customHeight="1" x14ac:dyDescent="0.25">
      <c r="B41" s="197" t="s">
        <v>289</v>
      </c>
      <c r="C41" s="215"/>
      <c r="D41" s="215">
        <f>IF(ISNA(VLOOKUP($B$4,'Credit Card'!$A$5:$BO$53,15,FALSE))=TRUE,"Dept not Found",VLOOKUP($B$4,'Credit Card'!$A$5:$BO$53,15,FALSE))</f>
        <v>0.36363636363636365</v>
      </c>
      <c r="E41" s="215"/>
      <c r="F41" s="215">
        <f>IF(ISNA(VLOOKUP($B$4,'Credit Card'!$A$5:$BO$53,34,FALSE))=TRUE,"Dept not Found",VLOOKUP($B$4,'Credit Card'!$A$5:$BO$53,34,FALSE))</f>
        <v>0.4375</v>
      </c>
      <c r="G41" s="215">
        <f>IF(ISNA(VLOOKUP($B$4,'Credit Card'!$A$5:$BO$53,45,FALSE))=TRUE,"Dept not Found",VLOOKUP($B$4,'Credit Card'!$A$5:$BO$53,45,FALSE))</f>
        <v>0.46938775510204084</v>
      </c>
      <c r="H41" s="215">
        <f>IF(ISNA(VLOOKUP($B$4,'Credit Card'!$A$5:$BO$53,56,FALSE))=TRUE,"Dept not Found",VLOOKUP($B$4,'Credit Card'!$A$5:$BO$53,56,FALSE))</f>
        <v>0.5</v>
      </c>
      <c r="I41" s="215">
        <f>IF(ISNA(VLOOKUP($B$4,'Credit Card'!$A$5:$BO$53,67,FALSE))=TRUE,"Dept not Found",VLOOKUP($B$4,'Credit Card'!$A$5:$BO$53,67,FALSE))</f>
        <v>0.90909090909090906</v>
      </c>
      <c r="K41" s="310" t="s">
        <v>339</v>
      </c>
    </row>
    <row r="42" spans="2:11" ht="30" customHeight="1" x14ac:dyDescent="0.25">
      <c r="B42" s="197" t="s">
        <v>292</v>
      </c>
      <c r="C42" s="198"/>
      <c r="D42" s="214">
        <f>IF(ISNA(VLOOKUP($B$4,'Concur Approvers'!$A$5:$T$53,2,FALSE))=TRUE,"Dept not Found",VLOOKUP($B$4,'Concur Approvers'!$A$5:$T$53,2,FALSE))</f>
        <v>78</v>
      </c>
      <c r="E42" s="214"/>
      <c r="F42" s="214">
        <f>IF(ISNA(VLOOKUP($B$4,'Concur Approvers'!$A$5:$T$53,6,FALSE))=TRUE,"Dept not Found",VLOOKUP($B$4,'Concur Approvers'!$A$5:$T$53,6,FALSE))</f>
        <v>99</v>
      </c>
      <c r="G42" s="214">
        <f>IF(ISNA(VLOOKUP($B$4,'Concur Approvers'!$A$5:$T$53,10,FALSE))=TRUE,"Dept not Found",VLOOKUP($B$4,'Concur Approvers'!$A$5:$T$53,10,FALSE))</f>
        <v>107</v>
      </c>
      <c r="H42" s="214">
        <f>IF(ISNA(VLOOKUP($B$4,'Concur Approvers'!$A$5:$T$53,14,FALSE))=TRUE,"Dept not Found",VLOOKUP($B$4,'Concur Approvers'!$A$5:$T$53,14,FALSE))</f>
        <v>120</v>
      </c>
      <c r="I42" s="214">
        <f>IF(ISNA(VLOOKUP($B$4,'Concur Approvers'!$A$5:$T$53,18,FALSE))=TRUE,"Dept not Found",VLOOKUP($B$4,'Concur Approvers'!$A$5:$T$53,18,FALSE))</f>
        <v>114</v>
      </c>
      <c r="K42" s="305" t="s">
        <v>388</v>
      </c>
    </row>
    <row r="43" spans="2:11" ht="30" customHeight="1" x14ac:dyDescent="0.25">
      <c r="B43" s="197" t="s">
        <v>293</v>
      </c>
      <c r="C43" s="198"/>
      <c r="D43" s="214">
        <f>IF(ISNA(VLOOKUP($B$4,'Concur Approvers'!$A$5:$T$53,3,FALSE))=TRUE,"Dept not Found",VLOOKUP($B$4,'Concur Approvers'!$A$5:$T$53,3,FALSE))</f>
        <v>22</v>
      </c>
      <c r="E43" s="217"/>
      <c r="F43" s="214">
        <f>IF(ISNA(VLOOKUP($B$4,'Concur Approvers'!$A$5:$T$53,7,FALSE))=TRUE,"Dept not Found",VLOOKUP($B$4,'Concur Approvers'!$A$5:$T$53,7,FALSE))</f>
        <v>28</v>
      </c>
      <c r="G43" s="214">
        <f>IF(ISNA(VLOOKUP($B$4,'Concur Approvers'!$A$5:$T$53,11,FALSE))=TRUE,"Dept not Found",VLOOKUP($B$4,'Concur Approvers'!$A$5:$T$53,11,FALSE))</f>
        <v>83</v>
      </c>
      <c r="H43" s="214">
        <f>IF(ISNA(VLOOKUP($B$4,'Concur Approvers'!$A$5:$T$53,15,FALSE))=TRUE,"Dept not Found",VLOOKUP($B$4,'Concur Approvers'!$A$5:$T$53,15,FALSE))</f>
        <v>113</v>
      </c>
      <c r="I43" s="214">
        <f>IF(ISNA(VLOOKUP($B$4,'Concur Approvers'!$A$5:$T$53,19,FALSE))=TRUE,"Dept not Found",VLOOKUP($B$4,'Concur Approvers'!$A$5:$T$53,19,FALSE))</f>
        <v>103</v>
      </c>
      <c r="K43" s="305" t="s">
        <v>388</v>
      </c>
    </row>
    <row r="44" spans="2:11" ht="30" customHeight="1" x14ac:dyDescent="0.25">
      <c r="B44" s="197" t="s">
        <v>294</v>
      </c>
      <c r="C44" s="198"/>
      <c r="D44" s="215">
        <f>IF(ISNA(VLOOKUP($B$4,'Concur Approvers'!$A$5:$T$53,4,FALSE))=TRUE,"Dept not Found",VLOOKUP($B$4,'Concur Approvers'!$A$5:$T$53,4,FALSE))</f>
        <v>0.28205128205128205</v>
      </c>
      <c r="E44" s="215"/>
      <c r="F44" s="215">
        <f>IF(ISNA(VLOOKUP($B$4,'Concur Approvers'!$A$5:$T$53,8,FALSE))=TRUE,"Dept not Found",VLOOKUP($B$4,'Concur Approvers'!$A$5:$T$53,8,FALSE))</f>
        <v>0.28282828282828282</v>
      </c>
      <c r="G44" s="215">
        <f>IF(ISNA(VLOOKUP($B$4,'Concur Approvers'!$A$5:$T$53,12,FALSE))=TRUE,"Dept not Found",VLOOKUP($B$4,'Concur Approvers'!$A$5:$T$53,12,FALSE))</f>
        <v>0.77570093457943923</v>
      </c>
      <c r="H44" s="215">
        <f>IF(ISNA(VLOOKUP($B$4,'Concur Approvers'!$A$5:$T$53,16,FALSE))=TRUE,"Dept not Found",VLOOKUP($B$4,'Concur Approvers'!$A$5:$T$53,16,FALSE))</f>
        <v>0.94166666666666665</v>
      </c>
      <c r="I44" s="215">
        <f>IF(ISNA(VLOOKUP($B$4,'Concur Approvers'!$A$5:$T$53,20,FALSE))=TRUE,"Dept not Found",VLOOKUP($B$4,'Concur Approvers'!$A$5:$T$53,20,FALSE))</f>
        <v>0.90350877192982459</v>
      </c>
      <c r="K44" s="305" t="s">
        <v>388</v>
      </c>
    </row>
    <row r="45" spans="2:11" ht="30" customHeight="1" x14ac:dyDescent="0.25">
      <c r="B45" s="197" t="s">
        <v>342</v>
      </c>
      <c r="C45" s="218">
        <f>IF(ISNA(VLOOKUP($B$4,'Gift Funds'!$A$5:$X$53,2,FALSE))=TRUE,"Dept not Found",VLOOKUP($B$4,'Gift Funds'!$A$5:$X$53,2,FALSE))/1000</f>
        <v>3532.7044500000002</v>
      </c>
      <c r="D45" s="218">
        <f>IF(ISNA(VLOOKUP($B$4,'Gift Funds'!$A$5:$X$53,4,FALSE))=TRUE,"Dept not Found",VLOOKUP($B$4,'Gift Funds'!$A$5:$X$53,4,FALSE))/1000</f>
        <v>4127.6644800000004</v>
      </c>
      <c r="E45" s="218">
        <f>IF(ISNA(VLOOKUP($B$4,'Gift Funds'!$A$5:$X$53,6,FALSE))=TRUE,"Dept not Found",VLOOKUP($B$4,'Gift Funds'!$A$5:$X$53,6,FALSE))/1000</f>
        <v>4844.3669300000001</v>
      </c>
      <c r="F45" s="218">
        <f>IF(ISNA(VLOOKUP($B$4,'Gift Funds'!$A$5:$X$53,10,FALSE))=TRUE,"Dept not Found",VLOOKUP($B$4,'Gift Funds'!$A$5:$X$53,10,FALSE))/1000</f>
        <v>4684.5336099999995</v>
      </c>
      <c r="G45" s="218">
        <f>IF(ISNA(VLOOKUP($B$4,'Gift Funds'!$A$5:$X$53,14,FALSE))=TRUE,"Dept not Found",VLOOKUP($B$4,'Gift Funds'!$A$5:$X$53,14,FALSE))/1000</f>
        <v>5550.7911799999993</v>
      </c>
      <c r="H45" s="218">
        <f>IF(ISNA(VLOOKUP($B$4,'Gift Funds'!$A$5:$X$53,18,FALSE))=TRUE,"Dept not Found",VLOOKUP($B$4,'Gift Funds'!$A$5:$X$53,18,FALSE))/1000</f>
        <v>6708.4428999999973</v>
      </c>
      <c r="I45" s="218">
        <f>IF(ISNA(VLOOKUP($B$4,'Gift Funds'!$A$5:$X$53,22,FALSE))=TRUE,"Dept not Found",VLOOKUP($B$4,'Gift Funds'!$A$5:$X$53,22,FALSE))/1000</f>
        <v>8041.8177400000022</v>
      </c>
      <c r="K45" s="305" t="s">
        <v>296</v>
      </c>
    </row>
    <row r="46" spans="2:11" ht="30" customHeight="1" x14ac:dyDescent="0.25">
      <c r="B46" s="197" t="s">
        <v>297</v>
      </c>
      <c r="C46" s="198"/>
      <c r="D46" s="217"/>
      <c r="E46" s="214">
        <f>IF(ISNA(VLOOKUP($B$4,'Gift Funds'!$A$5:$X$53,7,FALSE))=TRUE,"Dept not Found",VLOOKUP($B$4,'Gift Funds'!$A$5:$X$53,7,FALSE))</f>
        <v>58</v>
      </c>
      <c r="F46" s="214">
        <f>IF(ISNA(VLOOKUP($B$4,'Gift Funds'!$A$5:$X$53,11,FALSE))=TRUE,"Dept not Found",VLOOKUP($B$4,'Gift Funds'!$A$5:$X$53,11,FALSE))</f>
        <v>62</v>
      </c>
      <c r="G46" s="214">
        <f>IF(ISNA(VLOOKUP($B$4,'Gift Funds'!$A$5:$X$53,15,FALSE))=TRUE,"Dept not Found",VLOOKUP($B$4,'Gift Funds'!$A$5:$X$53,15,FALSE))</f>
        <v>24</v>
      </c>
      <c r="H46" s="214">
        <f>IF(ISNA(VLOOKUP($B$4,'Gift Funds'!$A$5:$X$53,19,FALSE))=TRUE,"Dept not Found",VLOOKUP($B$4,'Gift Funds'!$A$5:$X$53,19,FALSE))</f>
        <v>59</v>
      </c>
      <c r="I46" s="214">
        <f>IF(ISNA(VLOOKUP($B$4,'Gift Funds'!$A$5:$X$53,23,FALSE))=TRUE,"Dept not Found",VLOOKUP($B$4,'Gift Funds'!$A$5:$X$53,23,FALSE))</f>
        <v>47</v>
      </c>
      <c r="K46" s="305" t="s">
        <v>296</v>
      </c>
    </row>
    <row r="47" spans="2:11" ht="30" customHeight="1" x14ac:dyDescent="0.25">
      <c r="B47" s="197" t="s">
        <v>298</v>
      </c>
      <c r="C47" s="198"/>
      <c r="D47" s="217"/>
      <c r="E47" s="218">
        <f>IF(ISNA(VLOOKUP($B$4,'Gift Funds'!$A$5:$X$53,8,FALSE))=TRUE,"Dept not Found",VLOOKUP($B$4,'Gift Funds'!$A$5:$X$53,8,FALSE))/1000</f>
        <v>522.13454999999999</v>
      </c>
      <c r="F47" s="218">
        <f>IF(ISNA(VLOOKUP($B$4,'Gift Funds'!$A$5:$X$53,12,FALSE))=TRUE,"Dept not Found",VLOOKUP($B$4,'Gift Funds'!$A$5:$X$53,12,FALSE))/1000</f>
        <v>193.32572999999999</v>
      </c>
      <c r="G47" s="218">
        <f>IF(ISNA(VLOOKUP($B$4,'Gift Funds'!$A$5:$X$53,16,FALSE))=TRUE,"Dept not Found",VLOOKUP($B$4,'Gift Funds'!$A$5:$X$53,16,FALSE))/1000</f>
        <v>214.76788999999997</v>
      </c>
      <c r="H47" s="218">
        <f>IF(ISNA(VLOOKUP($B$4,'Gift Funds'!$A$5:$X$53,20,FALSE))=TRUE,"Dept not Found",VLOOKUP($B$4,'Gift Funds'!$A$5:$X$53,20,FALSE))/1000</f>
        <v>498.36478999999997</v>
      </c>
      <c r="I47" s="218">
        <f>IF(ISNA(VLOOKUP($B$4,'Gift Funds'!$A$5:$X$53,24,FALSE))=TRUE,"Dept not Found",VLOOKUP($B$4,'Gift Funds'!$A$5:$X$53,24,FALSE))/1000</f>
        <v>466.57511999999997</v>
      </c>
      <c r="K47" s="305" t="s">
        <v>296</v>
      </c>
    </row>
    <row r="48" spans="2:11" ht="30" customHeight="1" x14ac:dyDescent="0.25">
      <c r="B48" s="197" t="s">
        <v>301</v>
      </c>
      <c r="C48" s="198"/>
      <c r="D48" s="218">
        <f>IF(ISNA(VLOOKUP($B$4,'Financial Aid'!$A$5:$AV$53,2,FALSE))=TRUE,"Dept not Found",VLOOKUP($B$4,'Financial Aid'!$A$5:$AV$53,2,FALSE))/1000</f>
        <v>291.32799999999997</v>
      </c>
      <c r="E48" s="218">
        <f>IF(ISNA(VLOOKUP($B$4,'Financial Aid'!$A$5:$AV$53,10,FALSE))=TRUE,"Dept not Found",VLOOKUP($B$4,'Financial Aid'!$A$5:$AV$53,10,FALSE))/1000</f>
        <v>285.02199999999999</v>
      </c>
      <c r="F48" s="218">
        <f>IF(ISNA(VLOOKUP($B$4,'Financial Aid'!$A$5:$AV$53,18,FALSE))=TRUE,"Dept not Found",VLOOKUP($B$4,'Financial Aid'!$A$5:$AV$53,18,FALSE))/1000</f>
        <v>394.24200000000002</v>
      </c>
      <c r="G48" s="218">
        <f>IF(ISNA(VLOOKUP($B$4,'Financial Aid'!$A$5:$AV$53,26,FALSE))=TRUE,"Dept not Found",VLOOKUP($B$4,'Financial Aid'!$A$5:$AV$53,26,FALSE))/1000</f>
        <v>543.87699999999995</v>
      </c>
      <c r="H48" s="218">
        <f>IF(ISNA(VLOOKUP($B$4,'Financial Aid'!$A$5:$AV$53,34,FALSE))=TRUE,"Dept not Found",VLOOKUP($B$4,'Financial Aid'!$A$5:$AV$53,34,FALSE))/1000</f>
        <v>873.82168000000001</v>
      </c>
      <c r="I48" s="218">
        <f>IF(ISNA(VLOOKUP($B$4,'Financial Aid'!$A$5:$AV$53,42,FALSE))=TRUE,"Dept not Found",VLOOKUP($B$4,'Financial Aid'!$A$5:$AV$53,42,FALSE))/1000</f>
        <v>1018.1214000000002</v>
      </c>
      <c r="K48" s="305" t="s">
        <v>300</v>
      </c>
    </row>
    <row r="49" spans="2:11" ht="30" customHeight="1" x14ac:dyDescent="0.25">
      <c r="B49" s="197" t="s">
        <v>302</v>
      </c>
      <c r="C49" s="198"/>
      <c r="D49" s="218">
        <f>IF(ISNA(VLOOKUP($B$4,'Financial Aid'!$A$5:$AV$53,3,FALSE))=TRUE,"Dept not Found",VLOOKUP($B$4,'Financial Aid'!$A$5:$AV$53,3,FALSE))/1000</f>
        <v>118.709</v>
      </c>
      <c r="E49" s="218">
        <f>IF(ISNA(VLOOKUP($B$4,'Financial Aid'!$A$5:$AV$53,11,FALSE))=TRUE,"Dept not Found",VLOOKUP($B$4,'Financial Aid'!$A$5:$AV$53,11,FALSE))/1000</f>
        <v>65.748000000000005</v>
      </c>
      <c r="F49" s="218">
        <f>IF(ISNA(VLOOKUP($B$4,'Financial Aid'!$A$5:$AV$53,19,FALSE))=TRUE,"Dept not Found",VLOOKUP($B$4,'Financial Aid'!$A$5:$AV$53,19,FALSE))/1000</f>
        <v>36.606999999999999</v>
      </c>
      <c r="G49" s="218">
        <f>IF(ISNA(VLOOKUP($B$4,'Financial Aid'!$A$5:$AV$53,27,FALSE))=TRUE,"Dept not Found",VLOOKUP($B$4,'Financial Aid'!$A$5:$AV$53,27,FALSE))/1000</f>
        <v>46.814999999999998</v>
      </c>
      <c r="H49" s="218">
        <f>IF(ISNA(VLOOKUP($B$4,'Financial Aid'!$A$5:$AV$53,35,FALSE))=TRUE,"Dept not Found",VLOOKUP($B$4,'Financial Aid'!$A$5:$AV$53,35,FALSE))/1000</f>
        <v>187.90199999999999</v>
      </c>
      <c r="I49" s="218">
        <f>IF(ISNA(VLOOKUP($B$4,'Financial Aid'!$A$5:$AV$53,43,FALSE))=TRUE,"Dept not Found",VLOOKUP($B$4,'Financial Aid'!$A$5:$AV$53,43,FALSE))/1000</f>
        <v>339.00960000000003</v>
      </c>
      <c r="K49" s="305" t="s">
        <v>300</v>
      </c>
    </row>
    <row r="50" spans="2:11" ht="30" customHeight="1" x14ac:dyDescent="0.25">
      <c r="B50" s="197" t="s">
        <v>303</v>
      </c>
      <c r="C50" s="198"/>
      <c r="D50" s="215">
        <f>IF(ISNA(VLOOKUP($B$4,'Financial Aid'!$A$5:$AV$53,4,FALSE))=TRUE,"Dept not Found",VLOOKUP($B$4,'Financial Aid'!$A$5:$AV$53,4,FALSE))</f>
        <v>0.40747542289103689</v>
      </c>
      <c r="E50" s="215">
        <f>IF(ISNA(VLOOKUP($B$4,'Financial Aid'!$A$5:$AV$53,12,FALSE))=TRUE,"Dept not Found",VLOOKUP($B$4,'Financial Aid'!$A$5:$AV$53,12,FALSE))</f>
        <v>0.23067693020187915</v>
      </c>
      <c r="F50" s="215">
        <f>IF(ISNA(VLOOKUP($B$4,'Financial Aid'!$A$5:$AV$53,20,FALSE))=TRUE,"Dept not Found",VLOOKUP($B$4,'Financial Aid'!$A$5:$AV$53,20,FALSE))</f>
        <v>9.2854135277316979E-2</v>
      </c>
      <c r="G50" s="215">
        <f>IF(ISNA(VLOOKUP($B$4,'Financial Aid'!$A$5:$AV$53,28,FALSE))=TRUE,"Dept not Found",VLOOKUP($B$4,'Financial Aid'!$A$5:$AV$53,28,FALSE))</f>
        <v>8.607644743204805E-2</v>
      </c>
      <c r="H50" s="215">
        <f>IF(ISNA(VLOOKUP($B$4,'Financial Aid'!$A$5:$AV$53,36,FALSE))=TRUE,"Dept not Found",VLOOKUP($B$4,'Financial Aid'!$A$5:$AV$53,36,FALSE))</f>
        <v>0.21503471966957835</v>
      </c>
      <c r="I50" s="215">
        <f>IF(ISNA(VLOOKUP($B$4,'Financial Aid'!$A$5:$AV$53,44,FALSE))=TRUE,"Dept not Found",VLOOKUP($B$4,'Financial Aid'!$A$5:$AV$53,44,FALSE))</f>
        <v>0.33297561567805173</v>
      </c>
      <c r="K50" s="305" t="s">
        <v>300</v>
      </c>
    </row>
    <row r="51" spans="2:11" ht="30" customHeight="1" x14ac:dyDescent="0.25">
      <c r="B51" s="197" t="s">
        <v>304</v>
      </c>
      <c r="C51" s="198"/>
      <c r="D51" s="218">
        <f>IF(ISNA(VLOOKUP($B$4,'Financial Aid'!$A$5:$AV$53,5,FALSE))=TRUE,"Dept not Found",VLOOKUP($B$4,'Financial Aid'!$A$5:$AV$53,5,FALSE))/1000</f>
        <v>92.120410000000007</v>
      </c>
      <c r="E51" s="218">
        <f>IF(ISNA(VLOOKUP($B$4,'Financial Aid'!$A$5:$AV$53,13,FALSE))=TRUE,"Dept not Found",VLOOKUP($B$4,'Financial Aid'!$A$5:$AV$53,13,FALSE))/1000</f>
        <v>81.319999999999993</v>
      </c>
      <c r="F51" s="218">
        <f>IF(ISNA(VLOOKUP($B$4,'Financial Aid'!$A$5:$AV$53,21,FALSE))=TRUE,"Dept not Found",VLOOKUP($B$4,'Financial Aid'!$A$5:$AV$53,21,FALSE))/1000</f>
        <v>110.842</v>
      </c>
      <c r="G51" s="218">
        <f>IF(ISNA(VLOOKUP($B$4,'Financial Aid'!$A$5:$AV$53,29,FALSE))=TRUE,"Dept not Found",VLOOKUP($B$4,'Financial Aid'!$A$5:$AV$53,29,FALSE))/1000</f>
        <v>170.70400000000001</v>
      </c>
      <c r="H51" s="218">
        <f>IF(ISNA(VLOOKUP($B$4,'Financial Aid'!$A$5:$AV$53,37,FALSE))=TRUE,"Dept not Found",VLOOKUP($B$4,'Financial Aid'!$A$5:$AV$53,37,FALSE))/1000</f>
        <v>217.101</v>
      </c>
      <c r="I51" s="218">
        <f>IF(ISNA(VLOOKUP($B$4,'Financial Aid'!$A$5:$AV$53,45,FALSE))=TRUE,"Dept not Found",VLOOKUP($B$4,'Financial Aid'!$A$5:$AV$53,45,FALSE))/1000</f>
        <v>250.05159</v>
      </c>
      <c r="K51" s="305" t="s">
        <v>300</v>
      </c>
    </row>
    <row r="52" spans="2:11" ht="30" customHeight="1" x14ac:dyDescent="0.25">
      <c r="B52" s="197" t="s">
        <v>305</v>
      </c>
      <c r="C52" s="198"/>
      <c r="D52" s="215">
        <f>IF(ISNA(VLOOKUP($B$4,'Financial Aid'!$A$5:$AV$53,6,FALSE))=TRUE,"Dept not Found",VLOOKUP($B$4,'Financial Aid'!$A$5:$AV$53,6,FALSE))</f>
        <v>0.31620856903558875</v>
      </c>
      <c r="E52" s="215">
        <f>IF(ISNA(VLOOKUP($B$4,'Financial Aid'!$A$5:$AV$53,14,FALSE))=TRUE,"Dept not Found",VLOOKUP($B$4,'Financial Aid'!$A$5:$AV$53,14,FALSE))</f>
        <v>0.28531130930243981</v>
      </c>
      <c r="F52" s="215">
        <f>IF(ISNA(VLOOKUP($B$4,'Financial Aid'!$A$5:$AV$53,22,FALSE))=TRUE,"Dept not Found",VLOOKUP($B$4,'Financial Aid'!$A$5:$AV$53,22,FALSE))</f>
        <v>0.28115218571334361</v>
      </c>
      <c r="G52" s="215">
        <f>IF(ISNA(VLOOKUP($B$4,'Financial Aid'!$A$5:$AV$53,30,FALSE))=TRUE,"Dept not Found",VLOOKUP($B$4,'Financial Aid'!$A$5:$AV$53,30,FALSE))</f>
        <v>0.31386508346556297</v>
      </c>
      <c r="H52" s="215">
        <f>IF(ISNA(VLOOKUP($B$4,'Financial Aid'!$A$5:$AV$53,38,FALSE))=TRUE,"Dept not Found",VLOOKUP($B$4,'Financial Aid'!$A$5:$AV$53,38,FALSE))</f>
        <v>0.24845000412441126</v>
      </c>
      <c r="I52" s="215">
        <f>IF(ISNA(VLOOKUP($B$4,'Financial Aid'!$A$5:$AV$53,46,FALSE))=TRUE,"Dept not Found",VLOOKUP($B$4,'Financial Aid'!$A$5:$AV$53,46,FALSE))</f>
        <v>0.24560095682106273</v>
      </c>
      <c r="K52" s="305" t="s">
        <v>300</v>
      </c>
    </row>
    <row r="53" spans="2:11" ht="30" customHeight="1" x14ac:dyDescent="0.25">
      <c r="B53" s="197" t="s">
        <v>306</v>
      </c>
      <c r="C53" s="198"/>
      <c r="D53" s="214">
        <f>IF(ISNA(VLOOKUP($B$4,'Financial Aid'!$A$5:$AV$53,7,FALSE))=TRUE,"Dept not Found",VLOOKUP($B$4,'Financial Aid'!$A$5:$AV$53,7,FALSE))</f>
        <v>0</v>
      </c>
      <c r="E53" s="214">
        <f>IF(ISNA(VLOOKUP($B$4,'Financial Aid'!$A$5:$AV$53,15,FALSE))=TRUE,"Dept not Found",VLOOKUP($B$4,'Financial Aid'!$A$5:$AV$53,15,FALSE))</f>
        <v>2</v>
      </c>
      <c r="F53" s="214">
        <f>IF(ISNA(VLOOKUP($B$4,'Financial Aid'!$A$5:$AV$53,23,FALSE))=TRUE,"Dept not Found",VLOOKUP($B$4,'Financial Aid'!$A$5:$AV$53,23,FALSE))</f>
        <v>1</v>
      </c>
      <c r="G53" s="214">
        <f>IF(ISNA(VLOOKUP($B$4,'Financial Aid'!$A$5:$AV$53,31,FALSE))=TRUE,"Dept not Found",VLOOKUP($B$4,'Financial Aid'!$A$5:$AV$53,31,FALSE))</f>
        <v>4</v>
      </c>
      <c r="H53" s="214">
        <f>IF(ISNA(VLOOKUP($B$4,'Financial Aid'!$A$5:$AV$53,39,FALSE))=TRUE,"Dept not Found",VLOOKUP($B$4,'Financial Aid'!$A$5:$AV$53,39,FALSE))</f>
        <v>0</v>
      </c>
      <c r="I53" s="214">
        <f>IF(ISNA(VLOOKUP($B$4,'Financial Aid'!$A$5:$AV$53,47,FALSE))=TRUE,"Dept not Found",VLOOKUP($B$4,'Financial Aid'!$A$5:$AV$53,47,FALSE))</f>
        <v>0</v>
      </c>
      <c r="K53" s="305" t="s">
        <v>300</v>
      </c>
    </row>
    <row r="54" spans="2:11" ht="30" customHeight="1" x14ac:dyDescent="0.25">
      <c r="B54" s="197" t="s">
        <v>307</v>
      </c>
      <c r="C54" s="198"/>
      <c r="D54" s="218">
        <f>IF(ISNA(VLOOKUP($B$4,'Financial Aid'!$A$5:$AV$53,8,FALSE))=TRUE,"Dept not Found",VLOOKUP($B$4,'Financial Aid'!$A$5:$AV$53,8,FALSE))/1000</f>
        <v>0</v>
      </c>
      <c r="E54" s="218">
        <f>IF(ISNA(VLOOKUP($B$4,'Financial Aid'!$A$5:$AV$53,16,FALSE))=TRUE,"Dept not Found",VLOOKUP($B$4,'Financial Aid'!$A$5:$AV$53,16,FALSE))/1000</f>
        <v>8.8000000000000007</v>
      </c>
      <c r="F54" s="218">
        <f>IF(ISNA(VLOOKUP($B$4,'Financial Aid'!$A$5:$AV$53,24,FALSE))=TRUE,"Dept not Found",VLOOKUP($B$4,'Financial Aid'!$A$5:$AV$53,24,FALSE))/1000</f>
        <v>1</v>
      </c>
      <c r="G54" s="218">
        <f>IF(ISNA(VLOOKUP($B$4,'Financial Aid'!$A$5:$AV$53,32,FALSE))=TRUE,"Dept not Found",VLOOKUP($B$4,'Financial Aid'!$A$5:$AV$53,32,FALSE))/1000</f>
        <v>4.3129999999999997</v>
      </c>
      <c r="H54" s="218">
        <f>IF(ISNA(VLOOKUP($B$4,'Financial Aid'!$A$5:$AV$53,40,FALSE))=TRUE,"Dept not Found",VLOOKUP($B$4,'Financial Aid'!$A$5:$AV$53,40,FALSE))/1000</f>
        <v>0</v>
      </c>
      <c r="I54" s="218">
        <f>IF(ISNA(VLOOKUP($B$4,'Financial Aid'!$A$5:$AV$53,48,FALSE))=TRUE,"Dept not Found",VLOOKUP($B$4,'Financial Aid'!$A$5:$AV$53,48,FALSE))/1000</f>
        <v>0</v>
      </c>
      <c r="K54" s="305" t="s">
        <v>300</v>
      </c>
    </row>
    <row r="55" spans="2:11" ht="30" customHeight="1" x14ac:dyDescent="0.25">
      <c r="B55" s="197" t="s">
        <v>308</v>
      </c>
      <c r="C55" s="198"/>
      <c r="D55" s="217"/>
      <c r="E55" s="217"/>
      <c r="F55" s="214">
        <f>IF(ISNA(VLOOKUP($B$4,'Capital Equipment'!$A$5:$V$53,2,FALSE))=TRUE,"Dept not Found",VLOOKUP($B$4,'Capital Equipment'!$A$5:$V$53,2,FALSE))</f>
        <v>414</v>
      </c>
      <c r="G55" s="214">
        <f>IF(ISNA(VLOOKUP($B$4,'Capital Equipment'!$A$5:$V$53,6,FALSE))=TRUE,"Dept not Found",VLOOKUP($B$4,'Capital Equipment'!$A$5:$V$53,6,FALSE))</f>
        <v>459</v>
      </c>
      <c r="H55" s="214">
        <f>IF(ISNA(VLOOKUP($B$4,'Capital Equipment'!$A$5:$V$53,12,FALSE))=TRUE,"Dept not Found",VLOOKUP($B$4,'Capital Equipment'!$A$5:$V$53,12,FALSE))</f>
        <v>502</v>
      </c>
      <c r="I55" s="214">
        <f>IF(ISNA(VLOOKUP($B$4,'Capital Equipment'!$A$5:$V$53,18,FALSE))=TRUE,"Dept not Found",VLOOKUP($B$4,'Capital Equipment'!$A$5:$V$53,18,FALSE))</f>
        <v>644</v>
      </c>
      <c r="K55" s="305" t="s">
        <v>390</v>
      </c>
    </row>
    <row r="56" spans="2:11" ht="30" customHeight="1" x14ac:dyDescent="0.25">
      <c r="B56" s="197" t="s">
        <v>263</v>
      </c>
      <c r="C56" s="198"/>
      <c r="D56" s="217"/>
      <c r="E56" s="217"/>
      <c r="F56" s="217"/>
      <c r="G56" s="214">
        <f>IF(ISNA(VLOOKUP($B$4,'Capital Equipment'!$A$5:$V$53,7,FALSE))=TRUE,"Dept not Found",VLOOKUP($B$4,'Capital Equipment'!$A$5:$V$53,7,FALSE))</f>
        <v>129</v>
      </c>
      <c r="H56" s="214">
        <f>IF(ISNA(VLOOKUP($B$4,'Capital Equipment'!$A$5:$V$53,13,FALSE))=TRUE,"Dept not Found",VLOOKUP($B$4,'Capital Equipment'!$A$5:$V$53,13,FALSE))</f>
        <v>128</v>
      </c>
      <c r="I56" s="214">
        <f>IF(ISNA(VLOOKUP($B$4,'Capital Equipment'!$A$5:$V$53,19,FALSE))=TRUE,"Dept not Found",VLOOKUP($B$4,'Capital Equipment'!$A$5:$V$53,19,FALSE))</f>
        <v>74</v>
      </c>
      <c r="K56" s="305" t="s">
        <v>390</v>
      </c>
    </row>
    <row r="57" spans="2:11" ht="30" customHeight="1" x14ac:dyDescent="0.25">
      <c r="B57" s="197" t="s">
        <v>334</v>
      </c>
      <c r="C57" s="198"/>
      <c r="D57" s="217"/>
      <c r="E57" s="217"/>
      <c r="F57" s="215"/>
      <c r="G57" s="215">
        <f>IF(ISNA(VLOOKUP($B$4,'Capital Equipment'!$A$5:$V$53,8,FALSE))=TRUE,"Dept not Found",VLOOKUP($B$4,'Capital Equipment'!$A$5:$V$53,8,FALSE))</f>
        <v>0.28104575163398693</v>
      </c>
      <c r="H57" s="215">
        <f>IF(ISNA(VLOOKUP($B$4,'Capital Equipment'!$A$5:$V$53,14,FALSE))=TRUE,"Dept not Found",VLOOKUP($B$4,'Capital Equipment'!$A$5:$V$53,14,FALSE))</f>
        <v>0.2549800796812749</v>
      </c>
      <c r="I57" s="215">
        <f>IF(ISNA(VLOOKUP($B$4,'Capital Equipment'!$A$5:$V$53,20,FALSE))=TRUE,"Dept not Found",VLOOKUP($B$4,'Capital Equipment'!$A$5:$V$53,20,FALSE))</f>
        <v>0.11490683229813664</v>
      </c>
      <c r="K57" s="305" t="s">
        <v>390</v>
      </c>
    </row>
    <row r="58" spans="2:11" ht="30" customHeight="1" x14ac:dyDescent="0.25">
      <c r="B58" s="197" t="s">
        <v>308</v>
      </c>
      <c r="C58" s="198"/>
      <c r="D58" s="217"/>
      <c r="E58" s="217"/>
      <c r="F58" s="214">
        <f>IF(ISNA(VLOOKUP($B$4,'Capital Equipment'!$A$5:$V$53,3,FALSE))=TRUE,"Dept not Found",VLOOKUP($B$4,'Capital Equipment'!$A$5:$V$53,3,FALSE))</f>
        <v>0</v>
      </c>
      <c r="G58" s="214">
        <f>IF(ISNA(VLOOKUP($B$4,'Capital Equipment'!$A$5:$V$53,9,FALSE))=TRUE,"Dept not Found",VLOOKUP($B$4,'Capital Equipment'!$A$5:$V$53,9,FALSE))</f>
        <v>0</v>
      </c>
      <c r="H58" s="214">
        <f>IF(ISNA(VLOOKUP($B$4,'Capital Equipment'!$A$5:$V$53,15,FALSE))=TRUE,"Dept not Found",VLOOKUP($B$4,'Capital Equipment'!$A$5:$V$53,15,FALSE))</f>
        <v>0</v>
      </c>
      <c r="I58" s="214">
        <f>IF(ISNA(VLOOKUP($B$4,'Capital Equipment'!$A$5:$V$53,21,FALSE))=TRUE,"Dept not Found",VLOOKUP($B$4,'Capital Equipment'!$A$5:$V$53,21,FALSE))</f>
        <v>0</v>
      </c>
      <c r="K58" s="305" t="s">
        <v>309</v>
      </c>
    </row>
    <row r="59" spans="2:11" ht="30" customHeight="1" x14ac:dyDescent="0.25">
      <c r="B59" s="197" t="s">
        <v>341</v>
      </c>
      <c r="C59" s="198"/>
      <c r="D59" s="217"/>
      <c r="E59" s="217"/>
      <c r="F59" s="215">
        <f>IF(ISNA(VLOOKUP($B$4,'Capital Equipment'!$A$5:$V$53,4,FALSE))=TRUE,"Dept not Found",VLOOKUP($B$4,'Capital Equipment'!$A$5:$V$53,4,FALSE))</f>
        <v>0</v>
      </c>
      <c r="G59" s="215">
        <f>IF(ISNA(VLOOKUP($B$4,'Capital Equipment'!$A$5:$V$53,10,FALSE))=TRUE,"Dept not Found",VLOOKUP($B$4,'Capital Equipment'!$A$5:$V$53,10,FALSE))</f>
        <v>0</v>
      </c>
      <c r="H59" s="215">
        <f>IF(ISNA(VLOOKUP($B$4,'Capital Equipment'!$A$5:$V$53,16,FALSE))=TRUE,"Dept not Found",VLOOKUP($B$4,'Capital Equipment'!$A$5:$V$53,16,FALSE))</f>
        <v>0</v>
      </c>
      <c r="I59" s="215">
        <f>IF(ISNA(VLOOKUP($B$4,'Capital Equipment'!$A$5:$V$53,22,FALSE))=TRUE,"Dept not Found",VLOOKUP($B$4,'Capital Equipment'!$A$5:$V$53,22,FALSE))</f>
        <v>0</v>
      </c>
      <c r="K59" s="305" t="s">
        <v>309</v>
      </c>
    </row>
    <row r="60" spans="2:11" ht="30" customHeight="1" x14ac:dyDescent="0.25">
      <c r="B60" s="197" t="s">
        <v>389</v>
      </c>
      <c r="C60" s="198"/>
      <c r="D60" s="218">
        <f>IF(ISNA(VLOOKUP($B$4,'T&amp;E Spend'!$A$5:$X$53,2,FALSE))=TRUE,"Dept not Found",VLOOKUP($B$4,'T&amp;E Spend'!$A$5:$X$53,2,FALSE))/1000</f>
        <v>2666.5055699999898</v>
      </c>
      <c r="E60" s="218">
        <f>IF(ISNA(VLOOKUP($B$4,'T&amp;E Spend'!$A$5:$X$53,6,FALSE))=TRUE,"Dept not Found",VLOOKUP($B$4,'T&amp;E Spend'!$A$5:$X$53,6,FALSE))/1000</f>
        <v>2561.0547499999861</v>
      </c>
      <c r="F60" s="218">
        <f>IF(ISNA(VLOOKUP($B$4,'T&amp;E Spend'!$A$5:$X$53,10,FALSE))=TRUE,"Dept not Found",VLOOKUP($B$4,'T&amp;E Spend'!$A$5:$X$53,10,FALSE))/1000</f>
        <v>2355.9294599999926</v>
      </c>
      <c r="G60" s="218">
        <f>IF(ISNA(VLOOKUP($B$4,'T&amp;E Spend'!$A$5:$X$53,14,FALSE))=TRUE,"Dept not Found",VLOOKUP($B$4,'T&amp;E Spend'!$A$5:$X$53,14,FALSE))/1000</f>
        <v>2297.8123699999928</v>
      </c>
      <c r="H60" s="218">
        <f>IF(ISNA(VLOOKUP($B$4,'T&amp;E Spend'!$A$5:$X$53,18,FALSE))=TRUE,"Dept not Found",VLOOKUP($B$4,'T&amp;E Spend'!$A$5:$X$53,18,FALSE))/1000</f>
        <v>2481.8450999999955</v>
      </c>
      <c r="I60" s="218">
        <f>IF(ISNA(VLOOKUP($B$4,'T&amp;E Spend'!$A$5:$X$53,22,FALSE))=TRUE,"Dept not Found",VLOOKUP($B$4,'T&amp;E Spend'!$A$5:$X$53,22,FALSE))/1000</f>
        <v>1686.6659099999938</v>
      </c>
      <c r="K60" s="305" t="s">
        <v>291</v>
      </c>
    </row>
    <row r="61" spans="2:11" ht="30" customHeight="1" x14ac:dyDescent="0.25">
      <c r="B61" s="197" t="s">
        <v>391</v>
      </c>
      <c r="C61" s="198"/>
      <c r="D61" s="218">
        <f>IF(ISNA(VLOOKUP($B$4,'T&amp;E Spend'!$A$5:$X$53,3,FALSE))=TRUE,"Dept not Found",VLOOKUP($B$4,'T&amp;E Spend'!$A$5:$X$53,3,FALSE))/1000</f>
        <v>1302.5925799999934</v>
      </c>
      <c r="E61" s="218">
        <f>IF(ISNA(VLOOKUP($B$4,'T&amp;E Spend'!$A$5:$X$53,7,FALSE))=TRUE,"Dept not Found",VLOOKUP($B$4,'T&amp;E Spend'!$A$5:$X$53,7,FALSE))/1000</f>
        <v>1312.1467699999926</v>
      </c>
      <c r="F61" s="218">
        <f>IF(ISNA(VLOOKUP($B$4,'T&amp;E Spend'!$A$5:$X$53,11,FALSE))=TRUE,"Dept not Found",VLOOKUP($B$4,'T&amp;E Spend'!$A$5:$X$53,11,FALSE))/1000</f>
        <v>1059.3147400000005</v>
      </c>
      <c r="G61" s="218">
        <f>IF(ISNA(VLOOKUP($B$4,'T&amp;E Spend'!$A$5:$X$53,15,FALSE))=TRUE,"Dept not Found",VLOOKUP($B$4,'T&amp;E Spend'!$A$5:$X$53,15,FALSE))/1000</f>
        <v>1167.5200799999993</v>
      </c>
      <c r="H61" s="218">
        <f>IF(ISNA(VLOOKUP($B$4,'T&amp;E Spend'!$A$5:$X$53,19,FALSE))=TRUE,"Dept not Found",VLOOKUP($B$4,'T&amp;E Spend'!$A$5:$X$53,19,FALSE))/1000</f>
        <v>1449.6748600000005</v>
      </c>
      <c r="I61" s="218">
        <f>IF(ISNA(VLOOKUP($B$4,'T&amp;E Spend'!$A$5:$X$53,23,FALSE))=TRUE,"Dept not Found",VLOOKUP($B$4,'T&amp;E Spend'!$A$5:$X$53,23,FALSE))/1000</f>
        <v>949.49979999999846</v>
      </c>
      <c r="K61" s="305" t="s">
        <v>291</v>
      </c>
    </row>
    <row r="62" spans="2:11" ht="30" customHeight="1" x14ac:dyDescent="0.25">
      <c r="B62" s="197" t="s">
        <v>392</v>
      </c>
      <c r="C62" s="198"/>
      <c r="D62" s="218">
        <f>IF(ISNA(VLOOKUP($B$4,'T&amp;E Spend'!$A$5:$X$53,4,FALSE))=TRUE,"Dept not Found",VLOOKUP($B$4,'T&amp;E Spend'!$A$5:$X$53,4,FALSE))/1000</f>
        <v>1363.9129899999962</v>
      </c>
      <c r="E62" s="218">
        <f>IF(ISNA(VLOOKUP($B$4,'T&amp;E Spend'!$A$5:$X$53,8,FALSE))=TRUE,"Dept not Found",VLOOKUP($B$4,'T&amp;E Spend'!$A$5:$X$53,8,FALSE))/1000</f>
        <v>1248.9079799999934</v>
      </c>
      <c r="F62" s="218">
        <f>IF(ISNA(VLOOKUP($B$4,'T&amp;E Spend'!$A$5:$X$53,12,FALSE))=TRUE,"Dept not Found",VLOOKUP($B$4,'T&amp;E Spend'!$A$5:$X$53,12,FALSE))/1000</f>
        <v>1296.6147199999923</v>
      </c>
      <c r="G62" s="218">
        <f>IF(ISNA(VLOOKUP($B$4,'T&amp;E Spend'!$A$5:$X$53,16,FALSE))=TRUE,"Dept not Found",VLOOKUP($B$4,'T&amp;E Spend'!$A$5:$X$53,16,FALSE))/1000</f>
        <v>1130.292289999993</v>
      </c>
      <c r="H62" s="218">
        <f>IF(ISNA(VLOOKUP($B$4,'T&amp;E Spend'!$A$5:$X$53,20,FALSE))=TRUE,"Dept not Found",VLOOKUP($B$4,'T&amp;E Spend'!$A$5:$X$53,20,FALSE))/1000</f>
        <v>1032.1702399999949</v>
      </c>
      <c r="I62" s="218">
        <f>IF(ISNA(VLOOKUP($B$4,'T&amp;E Spend'!$A$5:$X$53,24,FALSE))=TRUE,"Dept not Found",VLOOKUP($B$4,'T&amp;E Spend'!$A$5:$X$53,24,FALSE))/1000</f>
        <v>737.16610999999546</v>
      </c>
      <c r="K62" s="305" t="s">
        <v>291</v>
      </c>
    </row>
    <row r="63" spans="2:11" ht="30" customHeight="1" x14ac:dyDescent="0.25">
      <c r="B63" s="197" t="s">
        <v>336</v>
      </c>
      <c r="C63" s="198"/>
      <c r="D63" s="198"/>
      <c r="E63" s="217"/>
      <c r="F63" s="217"/>
      <c r="G63" s="217"/>
      <c r="H63" s="217"/>
      <c r="I63" s="217"/>
    </row>
    <row r="64" spans="2:11" ht="30" customHeight="1" x14ac:dyDescent="0.25">
      <c r="B64" s="197" t="s">
        <v>251</v>
      </c>
      <c r="C64" s="198"/>
      <c r="D64" s="198"/>
      <c r="E64" s="217"/>
      <c r="F64" s="217"/>
      <c r="G64" s="217"/>
      <c r="H64" s="217"/>
      <c r="I64" s="217"/>
    </row>
    <row r="65" spans="2:9" ht="30" customHeight="1" x14ac:dyDescent="0.25">
      <c r="B65" s="197" t="s">
        <v>252</v>
      </c>
      <c r="C65" s="198"/>
      <c r="D65" s="198"/>
      <c r="E65" s="217"/>
      <c r="F65" s="217"/>
      <c r="G65" s="217"/>
      <c r="H65" s="217"/>
      <c r="I65" s="217"/>
    </row>
    <row r="66" spans="2:9" ht="30" customHeight="1" x14ac:dyDescent="0.25">
      <c r="B66" s="197" t="s">
        <v>253</v>
      </c>
      <c r="C66" s="198"/>
      <c r="D66" s="198"/>
      <c r="E66" s="217"/>
      <c r="F66" s="217"/>
      <c r="G66" s="217"/>
      <c r="H66" s="217"/>
      <c r="I66" s="217"/>
    </row>
  </sheetData>
  <sheetProtection selectLockedCells="1"/>
  <mergeCells count="3">
    <mergeCell ref="B1:I2"/>
    <mergeCell ref="B3:I3"/>
    <mergeCell ref="B5:C5"/>
  </mergeCells>
  <conditionalFormatting sqref="B64:I66 B7:B22 B24:B55 D48:D54 D42:D44 D37:D40 D30:D31 D55:F55 D46:E47 C9 E42 D62:G62 B61:B62 B57:B59 D7:I11 D57:F59">
    <cfRule type="expression" dxfId="691" priority="769">
      <formula>MOD(ROW(),2)=0</formula>
    </cfRule>
  </conditionalFormatting>
  <conditionalFormatting sqref="B64:I66 B7:B22 B24:B55 D48:D54 D42:D44 D37:D40 D30:D31 D55:F55 D46:E47 C9 D42:E42 D62:G62 B61:B62 B57:B59 D7:I12 D57:F59">
    <cfRule type="expression" dxfId="690" priority="768">
      <formula>MOD(ROW(),2)=0</formula>
    </cfRule>
  </conditionalFormatting>
  <conditionalFormatting sqref="D20">
    <cfRule type="expression" dxfId="689" priority="748">
      <formula>MOD(ROW(),2)=0</formula>
    </cfRule>
  </conditionalFormatting>
  <conditionalFormatting sqref="D20">
    <cfRule type="expression" dxfId="688" priority="747">
      <formula>MOD(ROW(),2)=0</formula>
    </cfRule>
  </conditionalFormatting>
  <conditionalFormatting sqref="D22">
    <cfRule type="expression" dxfId="687" priority="746">
      <formula>MOD(ROW(),2)=0</formula>
    </cfRule>
  </conditionalFormatting>
  <conditionalFormatting sqref="D22">
    <cfRule type="expression" dxfId="686" priority="745">
      <formula>MOD(ROW(),2)=0</formula>
    </cfRule>
  </conditionalFormatting>
  <conditionalFormatting sqref="D21">
    <cfRule type="expression" dxfId="685" priority="744">
      <formula>MOD(ROW(),2)=0</formula>
    </cfRule>
  </conditionalFormatting>
  <conditionalFormatting sqref="D21">
    <cfRule type="expression" dxfId="684" priority="743">
      <formula>MOD(ROW(),2)=0</formula>
    </cfRule>
  </conditionalFormatting>
  <conditionalFormatting sqref="D18:D19">
    <cfRule type="expression" dxfId="683" priority="742">
      <formula>MOD(ROW(),2)=0</formula>
    </cfRule>
  </conditionalFormatting>
  <conditionalFormatting sqref="D18:D19">
    <cfRule type="expression" dxfId="682" priority="741">
      <formula>MOD(ROW(),2)=0</formula>
    </cfRule>
  </conditionalFormatting>
  <conditionalFormatting sqref="D20">
    <cfRule type="expression" dxfId="681" priority="740">
      <formula>MOD(ROW(),2)=0</formula>
    </cfRule>
  </conditionalFormatting>
  <conditionalFormatting sqref="D20">
    <cfRule type="expression" dxfId="680" priority="739">
      <formula>MOD(ROW(),2)=0</formula>
    </cfRule>
  </conditionalFormatting>
  <conditionalFormatting sqref="D22">
    <cfRule type="expression" dxfId="679" priority="738">
      <formula>MOD(ROW(),2)=0</formula>
    </cfRule>
  </conditionalFormatting>
  <conditionalFormatting sqref="D22">
    <cfRule type="expression" dxfId="678" priority="737">
      <formula>MOD(ROW(),2)=0</formula>
    </cfRule>
  </conditionalFormatting>
  <conditionalFormatting sqref="B23 D23:I23">
    <cfRule type="expression" dxfId="677" priority="730">
      <formula>MOD(ROW(),2)=0</formula>
    </cfRule>
  </conditionalFormatting>
  <conditionalFormatting sqref="B23 D23:I23">
    <cfRule type="expression" dxfId="676" priority="729">
      <formula>MOD(ROW(),2)=0</formula>
    </cfRule>
  </conditionalFormatting>
  <conditionalFormatting sqref="D24:I24">
    <cfRule type="expression" dxfId="675" priority="728">
      <formula>MOD(ROW(),2)=0</formula>
    </cfRule>
  </conditionalFormatting>
  <conditionalFormatting sqref="D24:I24">
    <cfRule type="expression" dxfId="674" priority="727">
      <formula>MOD(ROW(),2)=0</formula>
    </cfRule>
  </conditionalFormatting>
  <conditionalFormatting sqref="D25:I25">
    <cfRule type="expression" dxfId="673" priority="726">
      <formula>MOD(ROW(),2)=0</formula>
    </cfRule>
  </conditionalFormatting>
  <conditionalFormatting sqref="D25:I25">
    <cfRule type="expression" dxfId="672" priority="725">
      <formula>MOD(ROW(),2)=0</formula>
    </cfRule>
  </conditionalFormatting>
  <conditionalFormatting sqref="G26:H26">
    <cfRule type="expression" dxfId="671" priority="724">
      <formula>MOD(ROW(),2)=0</formula>
    </cfRule>
  </conditionalFormatting>
  <conditionalFormatting sqref="G26:H26">
    <cfRule type="expression" dxfId="670" priority="723">
      <formula>MOD(ROW(),2)=0</formula>
    </cfRule>
  </conditionalFormatting>
  <conditionalFormatting sqref="G27:H27">
    <cfRule type="expression" dxfId="669" priority="722">
      <formula>MOD(ROW(),2)=0</formula>
    </cfRule>
  </conditionalFormatting>
  <conditionalFormatting sqref="G27:H27">
    <cfRule type="expression" dxfId="668" priority="721">
      <formula>MOD(ROW(),2)=0</formula>
    </cfRule>
  </conditionalFormatting>
  <conditionalFormatting sqref="D35">
    <cfRule type="expression" dxfId="667" priority="700">
      <formula>MOD(ROW(),2)=0</formula>
    </cfRule>
  </conditionalFormatting>
  <conditionalFormatting sqref="D35">
    <cfRule type="expression" dxfId="666" priority="699">
      <formula>MOD(ROW(),2)=0</formula>
    </cfRule>
  </conditionalFormatting>
  <conditionalFormatting sqref="G28:H28">
    <cfRule type="expression" dxfId="665" priority="718">
      <formula>MOD(ROW(),2)=0</formula>
    </cfRule>
  </conditionalFormatting>
  <conditionalFormatting sqref="G28:H28">
    <cfRule type="expression" dxfId="664" priority="717">
      <formula>MOD(ROW(),2)=0</formula>
    </cfRule>
  </conditionalFormatting>
  <conditionalFormatting sqref="D29:E29 G29:H29">
    <cfRule type="expression" dxfId="663" priority="716">
      <formula>MOD(ROW(),2)=0</formula>
    </cfRule>
  </conditionalFormatting>
  <conditionalFormatting sqref="D29:E29 G29:H29">
    <cfRule type="expression" dxfId="662" priority="715">
      <formula>MOD(ROW(),2)=0</formula>
    </cfRule>
  </conditionalFormatting>
  <conditionalFormatting sqref="D30:E30 G30:H30">
    <cfRule type="expression" dxfId="661" priority="714">
      <formula>MOD(ROW(),2)=0</formula>
    </cfRule>
  </conditionalFormatting>
  <conditionalFormatting sqref="D30:E30 G30:H30">
    <cfRule type="expression" dxfId="660" priority="713">
      <formula>MOD(ROW(),2)=0</formula>
    </cfRule>
  </conditionalFormatting>
  <conditionalFormatting sqref="D31:E31 G31:H31">
    <cfRule type="expression" dxfId="659" priority="710">
      <formula>MOD(ROW(),2)=0</formula>
    </cfRule>
  </conditionalFormatting>
  <conditionalFormatting sqref="D31:E31 G31:H31">
    <cfRule type="expression" dxfId="658" priority="709">
      <formula>MOD(ROW(),2)=0</formula>
    </cfRule>
  </conditionalFormatting>
  <conditionalFormatting sqref="D41">
    <cfRule type="expression" dxfId="657" priority="682">
      <formula>MOD(ROW(),2)=0</formula>
    </cfRule>
  </conditionalFormatting>
  <conditionalFormatting sqref="D41">
    <cfRule type="expression" dxfId="656" priority="681">
      <formula>MOD(ROW(),2)=0</formula>
    </cfRule>
  </conditionalFormatting>
  <conditionalFormatting sqref="D41">
    <cfRule type="expression" dxfId="655" priority="680">
      <formula>MOD(ROW(),2)=0</formula>
    </cfRule>
  </conditionalFormatting>
  <conditionalFormatting sqref="D41">
    <cfRule type="expression" dxfId="654" priority="679">
      <formula>MOD(ROW(),2)=0</formula>
    </cfRule>
  </conditionalFormatting>
  <conditionalFormatting sqref="E42">
    <cfRule type="expression" dxfId="653" priority="676">
      <formula>MOD(ROW(),2)=0</formula>
    </cfRule>
  </conditionalFormatting>
  <conditionalFormatting sqref="E42">
    <cfRule type="expression" dxfId="652" priority="675">
      <formula>MOD(ROW(),2)=0</formula>
    </cfRule>
  </conditionalFormatting>
  <conditionalFormatting sqref="D36">
    <cfRule type="expression" dxfId="651" priority="696">
      <formula>MOD(ROW(),2)=0</formula>
    </cfRule>
  </conditionalFormatting>
  <conditionalFormatting sqref="D36">
    <cfRule type="expression" dxfId="650" priority="695">
      <formula>MOD(ROW(),2)=0</formula>
    </cfRule>
  </conditionalFormatting>
  <conditionalFormatting sqref="D36">
    <cfRule type="expression" dxfId="649" priority="694">
      <formula>MOD(ROW(),2)=0</formula>
    </cfRule>
  </conditionalFormatting>
  <conditionalFormatting sqref="D36">
    <cfRule type="expression" dxfId="648" priority="693">
      <formula>MOD(ROW(),2)=0</formula>
    </cfRule>
  </conditionalFormatting>
  <conditionalFormatting sqref="D37">
    <cfRule type="expression" dxfId="647" priority="692">
      <formula>MOD(ROW(),2)=0</formula>
    </cfRule>
  </conditionalFormatting>
  <conditionalFormatting sqref="D37">
    <cfRule type="expression" dxfId="646" priority="691">
      <formula>MOD(ROW(),2)=0</formula>
    </cfRule>
  </conditionalFormatting>
  <conditionalFormatting sqref="D38">
    <cfRule type="expression" dxfId="645" priority="690">
      <formula>MOD(ROW(),2)=0</formula>
    </cfRule>
  </conditionalFormatting>
  <conditionalFormatting sqref="D38">
    <cfRule type="expression" dxfId="644" priority="689">
      <formula>MOD(ROW(),2)=0</formula>
    </cfRule>
  </conditionalFormatting>
  <conditionalFormatting sqref="D39">
    <cfRule type="expression" dxfId="643" priority="688">
      <formula>MOD(ROW(),2)=0</formula>
    </cfRule>
  </conditionalFormatting>
  <conditionalFormatting sqref="D39">
    <cfRule type="expression" dxfId="642" priority="687">
      <formula>MOD(ROW(),2)=0</formula>
    </cfRule>
  </conditionalFormatting>
  <conditionalFormatting sqref="D40">
    <cfRule type="expression" dxfId="641" priority="686">
      <formula>MOD(ROW(),2)=0</formula>
    </cfRule>
  </conditionalFormatting>
  <conditionalFormatting sqref="D40">
    <cfRule type="expression" dxfId="640" priority="685">
      <formula>MOD(ROW(),2)=0</formula>
    </cfRule>
  </conditionalFormatting>
  <conditionalFormatting sqref="E42">
    <cfRule type="expression" dxfId="639" priority="678">
      <formula>MOD(ROW(),2)=0</formula>
    </cfRule>
  </conditionalFormatting>
  <conditionalFormatting sqref="E42">
    <cfRule type="expression" dxfId="638" priority="677">
      <formula>MOD(ROW(),2)=0</formula>
    </cfRule>
  </conditionalFormatting>
  <conditionalFormatting sqref="D43:E43">
    <cfRule type="expression" dxfId="637" priority="674">
      <formula>MOD(ROW(),2)=0</formula>
    </cfRule>
  </conditionalFormatting>
  <conditionalFormatting sqref="D43:E43">
    <cfRule type="expression" dxfId="636" priority="673">
      <formula>MOD(ROW(),2)=0</formula>
    </cfRule>
  </conditionalFormatting>
  <conditionalFormatting sqref="E43">
    <cfRule type="expression" dxfId="635" priority="672">
      <formula>MOD(ROW(),2)=0</formula>
    </cfRule>
  </conditionalFormatting>
  <conditionalFormatting sqref="E43">
    <cfRule type="expression" dxfId="634" priority="671">
      <formula>MOD(ROW(),2)=0</formula>
    </cfRule>
  </conditionalFormatting>
  <conditionalFormatting sqref="E43">
    <cfRule type="expression" dxfId="633" priority="670">
      <formula>MOD(ROW(),2)=0</formula>
    </cfRule>
  </conditionalFormatting>
  <conditionalFormatting sqref="E43">
    <cfRule type="expression" dxfId="632" priority="669">
      <formula>MOD(ROW(),2)=0</formula>
    </cfRule>
  </conditionalFormatting>
  <conditionalFormatting sqref="D44:E44">
    <cfRule type="expression" dxfId="631" priority="662">
      <formula>MOD(ROW(),2)=0</formula>
    </cfRule>
  </conditionalFormatting>
  <conditionalFormatting sqref="D44:E44">
    <cfRule type="expression" dxfId="630" priority="661">
      <formula>MOD(ROW(),2)=0</formula>
    </cfRule>
  </conditionalFormatting>
  <conditionalFormatting sqref="D50">
    <cfRule type="expression" dxfId="629" priority="652">
      <formula>MOD(ROW(),2)=0</formula>
    </cfRule>
  </conditionalFormatting>
  <conditionalFormatting sqref="D50">
    <cfRule type="expression" dxfId="628" priority="651">
      <formula>MOD(ROW(),2)=0</formula>
    </cfRule>
  </conditionalFormatting>
  <conditionalFormatting sqref="D46:E46">
    <cfRule type="expression" dxfId="627" priority="658">
      <formula>MOD(ROW(),2)=0</formula>
    </cfRule>
  </conditionalFormatting>
  <conditionalFormatting sqref="D46:E46">
    <cfRule type="expression" dxfId="626" priority="657">
      <formula>MOD(ROW(),2)=0</formula>
    </cfRule>
  </conditionalFormatting>
  <conditionalFormatting sqref="D47:E47">
    <cfRule type="expression" dxfId="625" priority="656">
      <formula>MOD(ROW(),2)=0</formula>
    </cfRule>
  </conditionalFormatting>
  <conditionalFormatting sqref="D47:E47">
    <cfRule type="expression" dxfId="624" priority="655">
      <formula>MOD(ROW(),2)=0</formula>
    </cfRule>
  </conditionalFormatting>
  <conditionalFormatting sqref="D48:D49">
    <cfRule type="expression" dxfId="623" priority="654">
      <formula>MOD(ROW(),2)=0</formula>
    </cfRule>
  </conditionalFormatting>
  <conditionalFormatting sqref="D48:D49">
    <cfRule type="expression" dxfId="622" priority="653">
      <formula>MOD(ROW(),2)=0</formula>
    </cfRule>
  </conditionalFormatting>
  <conditionalFormatting sqref="D51">
    <cfRule type="expression" dxfId="621" priority="650">
      <formula>MOD(ROW(),2)=0</formula>
    </cfRule>
  </conditionalFormatting>
  <conditionalFormatting sqref="D51">
    <cfRule type="expression" dxfId="620" priority="649">
      <formula>MOD(ROW(),2)=0</formula>
    </cfRule>
  </conditionalFormatting>
  <conditionalFormatting sqref="D52">
    <cfRule type="expression" dxfId="619" priority="648">
      <formula>MOD(ROW(),2)=0</formula>
    </cfRule>
  </conditionalFormatting>
  <conditionalFormatting sqref="D52">
    <cfRule type="expression" dxfId="618" priority="647">
      <formula>MOD(ROW(),2)=0</formula>
    </cfRule>
  </conditionalFormatting>
  <conditionalFormatting sqref="D54">
    <cfRule type="expression" dxfId="617" priority="642">
      <formula>MOD(ROW(),2)=0</formula>
    </cfRule>
  </conditionalFormatting>
  <conditionalFormatting sqref="D54">
    <cfRule type="expression" dxfId="616" priority="641">
      <formula>MOD(ROW(),2)=0</formula>
    </cfRule>
  </conditionalFormatting>
  <conditionalFormatting sqref="D53">
    <cfRule type="expression" dxfId="615" priority="644">
      <formula>MOD(ROW(),2)=0</formula>
    </cfRule>
  </conditionalFormatting>
  <conditionalFormatting sqref="D53">
    <cfRule type="expression" dxfId="614" priority="643">
      <formula>MOD(ROW(),2)=0</formula>
    </cfRule>
  </conditionalFormatting>
  <conditionalFormatting sqref="F62:I62">
    <cfRule type="expression" dxfId="613" priority="626">
      <formula>MOD(ROW(),2)=0</formula>
    </cfRule>
  </conditionalFormatting>
  <conditionalFormatting sqref="F62:I62">
    <cfRule type="expression" dxfId="612" priority="625">
      <formula>MOD(ROW(),2)=0</formula>
    </cfRule>
  </conditionalFormatting>
  <conditionalFormatting sqref="E55:F55">
    <cfRule type="expression" dxfId="611" priority="640">
      <formula>MOD(ROW(),2)=0</formula>
    </cfRule>
  </conditionalFormatting>
  <conditionalFormatting sqref="E55:F55">
    <cfRule type="expression" dxfId="610" priority="639">
      <formula>MOD(ROW(),2)=0</formula>
    </cfRule>
  </conditionalFormatting>
  <conditionalFormatting sqref="C27">
    <cfRule type="expression" dxfId="609" priority="582">
      <formula>MOD(ROW(),2)=0</formula>
    </cfRule>
  </conditionalFormatting>
  <conditionalFormatting sqref="C27">
    <cfRule type="expression" dxfId="608" priority="581">
      <formula>MOD(ROW(),2)=0</formula>
    </cfRule>
  </conditionalFormatting>
  <conditionalFormatting sqref="E58:F58">
    <cfRule type="expression" dxfId="607" priority="634">
      <formula>MOD(ROW(),2)=0</formula>
    </cfRule>
  </conditionalFormatting>
  <conditionalFormatting sqref="E58:F58">
    <cfRule type="expression" dxfId="606" priority="633">
      <formula>MOD(ROW(),2)=0</formula>
    </cfRule>
  </conditionalFormatting>
  <conditionalFormatting sqref="E59:F59">
    <cfRule type="expression" dxfId="605" priority="632">
      <formula>MOD(ROW(),2)=0</formula>
    </cfRule>
  </conditionalFormatting>
  <conditionalFormatting sqref="E59:F59">
    <cfRule type="expression" dxfId="604" priority="631">
      <formula>MOD(ROW(),2)=0</formula>
    </cfRule>
  </conditionalFormatting>
  <conditionalFormatting sqref="F56">
    <cfRule type="expression" dxfId="603" priority="621">
      <formula>MOD(ROW(),2)=0</formula>
    </cfRule>
  </conditionalFormatting>
  <conditionalFormatting sqref="B56 D56:F56">
    <cfRule type="expression" dxfId="602" priority="624">
      <formula>MOD(ROW(),2)=0</formula>
    </cfRule>
  </conditionalFormatting>
  <conditionalFormatting sqref="B56 D56:F56">
    <cfRule type="expression" dxfId="601" priority="623">
      <formula>MOD(ROW(),2)=0</formula>
    </cfRule>
  </conditionalFormatting>
  <conditionalFormatting sqref="F56">
    <cfRule type="expression" dxfId="600" priority="622">
      <formula>MOD(ROW(),2)=0</formula>
    </cfRule>
  </conditionalFormatting>
  <conditionalFormatting sqref="F57">
    <cfRule type="expression" dxfId="599" priority="618">
      <formula>MOD(ROW(),2)=0</formula>
    </cfRule>
  </conditionalFormatting>
  <conditionalFormatting sqref="F57">
    <cfRule type="expression" dxfId="598" priority="617">
      <formula>MOD(ROW(),2)=0</formula>
    </cfRule>
  </conditionalFormatting>
  <conditionalFormatting sqref="D24">
    <cfRule type="expression" dxfId="597" priority="616">
      <formula>MOD(ROW(),2)=0</formula>
    </cfRule>
  </conditionalFormatting>
  <conditionalFormatting sqref="D24">
    <cfRule type="expression" dxfId="596" priority="615">
      <formula>MOD(ROW(),2)=0</formula>
    </cfRule>
  </conditionalFormatting>
  <conditionalFormatting sqref="D25">
    <cfRule type="expression" dxfId="595" priority="614">
      <formula>MOD(ROW(),2)=0</formula>
    </cfRule>
  </conditionalFormatting>
  <conditionalFormatting sqref="D25">
    <cfRule type="expression" dxfId="594" priority="613">
      <formula>MOD(ROW(),2)=0</formula>
    </cfRule>
  </conditionalFormatting>
  <conditionalFormatting sqref="F57">
    <cfRule type="expression" dxfId="593" priority="521">
      <formula>MOD(ROW(),2)=0</formula>
    </cfRule>
  </conditionalFormatting>
  <conditionalFormatting sqref="C7:C8 C46:C55 C42:C44 C37:C40 C30:C31 E8 G8 I8 C10:C11 C61:C62 C57:C59">
    <cfRule type="expression" dxfId="592" priority="612">
      <formula>MOD(ROW(),2)=0</formula>
    </cfRule>
  </conditionalFormatting>
  <conditionalFormatting sqref="C46:C55 C42:C44 C37:C40 C30:C31 C7:C8 D7:I7 C10:C12 C61:C62 C57:C59 D8:E8 E7:I8">
    <cfRule type="expression" dxfId="591" priority="611">
      <formula>MOD(ROW(),2)=0</formula>
    </cfRule>
  </conditionalFormatting>
  <conditionalFormatting sqref="C15">
    <cfRule type="expression" dxfId="590" priority="610">
      <formula>MOD(ROW(),2)=0</formula>
    </cfRule>
  </conditionalFormatting>
  <conditionalFormatting sqref="C15">
    <cfRule type="expression" dxfId="589" priority="609">
      <formula>MOD(ROW(),2)=0</formula>
    </cfRule>
  </conditionalFormatting>
  <conditionalFormatting sqref="C17">
    <cfRule type="expression" dxfId="588" priority="608">
      <formula>MOD(ROW(),2)=0</formula>
    </cfRule>
  </conditionalFormatting>
  <conditionalFormatting sqref="C17">
    <cfRule type="expression" dxfId="587" priority="607">
      <formula>MOD(ROW(),2)=0</formula>
    </cfRule>
  </conditionalFormatting>
  <conditionalFormatting sqref="C16">
    <cfRule type="expression" dxfId="586" priority="606">
      <formula>MOD(ROW(),2)=0</formula>
    </cfRule>
  </conditionalFormatting>
  <conditionalFormatting sqref="C16">
    <cfRule type="expression" dxfId="585" priority="605">
      <formula>MOD(ROW(),2)=0</formula>
    </cfRule>
  </conditionalFormatting>
  <conditionalFormatting sqref="C13:C14">
    <cfRule type="expression" dxfId="584" priority="604">
      <formula>MOD(ROW(),2)=0</formula>
    </cfRule>
  </conditionalFormatting>
  <conditionalFormatting sqref="C13:C14">
    <cfRule type="expression" dxfId="583" priority="603">
      <formula>MOD(ROW(),2)=0</formula>
    </cfRule>
  </conditionalFormatting>
  <conditionalFormatting sqref="C20">
    <cfRule type="expression" dxfId="582" priority="602">
      <formula>MOD(ROW(),2)=0</formula>
    </cfRule>
  </conditionalFormatting>
  <conditionalFormatting sqref="C20">
    <cfRule type="expression" dxfId="581" priority="601">
      <formula>MOD(ROW(),2)=0</formula>
    </cfRule>
  </conditionalFormatting>
  <conditionalFormatting sqref="C22">
    <cfRule type="expression" dxfId="580" priority="600">
      <formula>MOD(ROW(),2)=0</formula>
    </cfRule>
  </conditionalFormatting>
  <conditionalFormatting sqref="C22">
    <cfRule type="expression" dxfId="579" priority="599">
      <formula>MOD(ROW(),2)=0</formula>
    </cfRule>
  </conditionalFormatting>
  <conditionalFormatting sqref="C21">
    <cfRule type="expression" dxfId="578" priority="598">
      <formula>MOD(ROW(),2)=0</formula>
    </cfRule>
  </conditionalFormatting>
  <conditionalFormatting sqref="C21">
    <cfRule type="expression" dxfId="577" priority="597">
      <formula>MOD(ROW(),2)=0</formula>
    </cfRule>
  </conditionalFormatting>
  <conditionalFormatting sqref="C18:C19">
    <cfRule type="expression" dxfId="576" priority="596">
      <formula>MOD(ROW(),2)=0</formula>
    </cfRule>
  </conditionalFormatting>
  <conditionalFormatting sqref="C18:C19">
    <cfRule type="expression" dxfId="575" priority="595">
      <formula>MOD(ROW(),2)=0</formula>
    </cfRule>
  </conditionalFormatting>
  <conditionalFormatting sqref="C20">
    <cfRule type="expression" dxfId="574" priority="594">
      <formula>MOD(ROW(),2)=0</formula>
    </cfRule>
  </conditionalFormatting>
  <conditionalFormatting sqref="C20">
    <cfRule type="expression" dxfId="573" priority="593">
      <formula>MOD(ROW(),2)=0</formula>
    </cfRule>
  </conditionalFormatting>
  <conditionalFormatting sqref="C22">
    <cfRule type="expression" dxfId="572" priority="592">
      <formula>MOD(ROW(),2)=0</formula>
    </cfRule>
  </conditionalFormatting>
  <conditionalFormatting sqref="C22">
    <cfRule type="expression" dxfId="571" priority="591">
      <formula>MOD(ROW(),2)=0</formula>
    </cfRule>
  </conditionalFormatting>
  <conditionalFormatting sqref="C23">
    <cfRule type="expression" dxfId="570" priority="590">
      <formula>MOD(ROW(),2)=0</formula>
    </cfRule>
  </conditionalFormatting>
  <conditionalFormatting sqref="C23">
    <cfRule type="expression" dxfId="569" priority="589">
      <formula>MOD(ROW(),2)=0</formula>
    </cfRule>
  </conditionalFormatting>
  <conditionalFormatting sqref="C24">
    <cfRule type="expression" dxfId="568" priority="588">
      <formula>MOD(ROW(),2)=0</formula>
    </cfRule>
  </conditionalFormatting>
  <conditionalFormatting sqref="C24">
    <cfRule type="expression" dxfId="567" priority="587">
      <formula>MOD(ROW(),2)=0</formula>
    </cfRule>
  </conditionalFormatting>
  <conditionalFormatting sqref="C25">
    <cfRule type="expression" dxfId="566" priority="586">
      <formula>MOD(ROW(),2)=0</formula>
    </cfRule>
  </conditionalFormatting>
  <conditionalFormatting sqref="C25">
    <cfRule type="expression" dxfId="565" priority="585">
      <formula>MOD(ROW(),2)=0</formula>
    </cfRule>
  </conditionalFormatting>
  <conditionalFormatting sqref="C26">
    <cfRule type="expression" dxfId="564" priority="584">
      <formula>MOD(ROW(),2)=0</formula>
    </cfRule>
  </conditionalFormatting>
  <conditionalFormatting sqref="C26">
    <cfRule type="expression" dxfId="563" priority="583">
      <formula>MOD(ROW(),2)=0</formula>
    </cfRule>
  </conditionalFormatting>
  <conditionalFormatting sqref="C35">
    <cfRule type="expression" dxfId="562" priority="566">
      <formula>MOD(ROW(),2)=0</formula>
    </cfRule>
  </conditionalFormatting>
  <conditionalFormatting sqref="C35">
    <cfRule type="expression" dxfId="561" priority="565">
      <formula>MOD(ROW(),2)=0</formula>
    </cfRule>
  </conditionalFormatting>
  <conditionalFormatting sqref="C28">
    <cfRule type="expression" dxfId="560" priority="580">
      <formula>MOD(ROW(),2)=0</formula>
    </cfRule>
  </conditionalFormatting>
  <conditionalFormatting sqref="C28">
    <cfRule type="expression" dxfId="559" priority="579">
      <formula>MOD(ROW(),2)=0</formula>
    </cfRule>
  </conditionalFormatting>
  <conditionalFormatting sqref="C29">
    <cfRule type="expression" dxfId="558" priority="578">
      <formula>MOD(ROW(),2)=0</formula>
    </cfRule>
  </conditionalFormatting>
  <conditionalFormatting sqref="C29">
    <cfRule type="expression" dxfId="557" priority="577">
      <formula>MOD(ROW(),2)=0</formula>
    </cfRule>
  </conditionalFormatting>
  <conditionalFormatting sqref="C30">
    <cfRule type="expression" dxfId="556" priority="576">
      <formula>MOD(ROW(),2)=0</formula>
    </cfRule>
  </conditionalFormatting>
  <conditionalFormatting sqref="C30">
    <cfRule type="expression" dxfId="555" priority="575">
      <formula>MOD(ROW(),2)=0</formula>
    </cfRule>
  </conditionalFormatting>
  <conditionalFormatting sqref="C31">
    <cfRule type="expression" dxfId="554" priority="574">
      <formula>MOD(ROW(),2)=0</formula>
    </cfRule>
  </conditionalFormatting>
  <conditionalFormatting sqref="C31">
    <cfRule type="expression" dxfId="553" priority="573">
      <formula>MOD(ROW(),2)=0</formula>
    </cfRule>
  </conditionalFormatting>
  <conditionalFormatting sqref="C32">
    <cfRule type="expression" dxfId="552" priority="572">
      <formula>MOD(ROW(),2)=0</formula>
    </cfRule>
  </conditionalFormatting>
  <conditionalFormatting sqref="C32">
    <cfRule type="expression" dxfId="551" priority="571">
      <formula>MOD(ROW(),2)=0</formula>
    </cfRule>
  </conditionalFormatting>
  <conditionalFormatting sqref="C33">
    <cfRule type="expression" dxfId="550" priority="570">
      <formula>MOD(ROW(),2)=0</formula>
    </cfRule>
  </conditionalFormatting>
  <conditionalFormatting sqref="C33">
    <cfRule type="expression" dxfId="549" priority="569">
      <formula>MOD(ROW(),2)=0</formula>
    </cfRule>
  </conditionalFormatting>
  <conditionalFormatting sqref="C34">
    <cfRule type="expression" dxfId="548" priority="568">
      <formula>MOD(ROW(),2)=0</formula>
    </cfRule>
  </conditionalFormatting>
  <conditionalFormatting sqref="C34">
    <cfRule type="expression" dxfId="547" priority="567">
      <formula>MOD(ROW(),2)=0</formula>
    </cfRule>
  </conditionalFormatting>
  <conditionalFormatting sqref="C36">
    <cfRule type="expression" dxfId="546" priority="564">
      <formula>MOD(ROW(),2)=0</formula>
    </cfRule>
  </conditionalFormatting>
  <conditionalFormatting sqref="C36">
    <cfRule type="expression" dxfId="545" priority="563">
      <formula>MOD(ROW(),2)=0</formula>
    </cfRule>
  </conditionalFormatting>
  <conditionalFormatting sqref="C36">
    <cfRule type="expression" dxfId="544" priority="562">
      <formula>MOD(ROW(),2)=0</formula>
    </cfRule>
  </conditionalFormatting>
  <conditionalFormatting sqref="C36">
    <cfRule type="expression" dxfId="543" priority="561">
      <formula>MOD(ROW(),2)=0</formula>
    </cfRule>
  </conditionalFormatting>
  <conditionalFormatting sqref="C37">
    <cfRule type="expression" dxfId="542" priority="560">
      <formula>MOD(ROW(),2)=0</formula>
    </cfRule>
  </conditionalFormatting>
  <conditionalFormatting sqref="C37">
    <cfRule type="expression" dxfId="541" priority="559">
      <formula>MOD(ROW(),2)=0</formula>
    </cfRule>
  </conditionalFormatting>
  <conditionalFormatting sqref="C38">
    <cfRule type="expression" dxfId="540" priority="558">
      <formula>MOD(ROW(),2)=0</formula>
    </cfRule>
  </conditionalFormatting>
  <conditionalFormatting sqref="C38">
    <cfRule type="expression" dxfId="539" priority="557">
      <formula>MOD(ROW(),2)=0</formula>
    </cfRule>
  </conditionalFormatting>
  <conditionalFormatting sqref="C39">
    <cfRule type="expression" dxfId="538" priority="556">
      <formula>MOD(ROW(),2)=0</formula>
    </cfRule>
  </conditionalFormatting>
  <conditionalFormatting sqref="C39">
    <cfRule type="expression" dxfId="537" priority="555">
      <formula>MOD(ROW(),2)=0</formula>
    </cfRule>
  </conditionalFormatting>
  <conditionalFormatting sqref="C40">
    <cfRule type="expression" dxfId="536" priority="554">
      <formula>MOD(ROW(),2)=0</formula>
    </cfRule>
  </conditionalFormatting>
  <conditionalFormatting sqref="C40">
    <cfRule type="expression" dxfId="535" priority="553">
      <formula>MOD(ROW(),2)=0</formula>
    </cfRule>
  </conditionalFormatting>
  <conditionalFormatting sqref="C41">
    <cfRule type="expression" dxfId="534" priority="552">
      <formula>MOD(ROW(),2)=0</formula>
    </cfRule>
  </conditionalFormatting>
  <conditionalFormatting sqref="C41">
    <cfRule type="expression" dxfId="533" priority="551">
      <formula>MOD(ROW(),2)=0</formula>
    </cfRule>
  </conditionalFormatting>
  <conditionalFormatting sqref="C41">
    <cfRule type="expression" dxfId="532" priority="550">
      <formula>MOD(ROW(),2)=0</formula>
    </cfRule>
  </conditionalFormatting>
  <conditionalFormatting sqref="C41">
    <cfRule type="expression" dxfId="531" priority="549">
      <formula>MOD(ROW(),2)=0</formula>
    </cfRule>
  </conditionalFormatting>
  <conditionalFormatting sqref="C44">
    <cfRule type="expression" dxfId="530" priority="548">
      <formula>MOD(ROW(),2)=0</formula>
    </cfRule>
  </conditionalFormatting>
  <conditionalFormatting sqref="C44">
    <cfRule type="expression" dxfId="529" priority="547">
      <formula>MOD(ROW(),2)=0</formula>
    </cfRule>
  </conditionalFormatting>
  <conditionalFormatting sqref="C45">
    <cfRule type="expression" dxfId="528" priority="546">
      <formula>MOD(ROW(),2)=0</formula>
    </cfRule>
  </conditionalFormatting>
  <conditionalFormatting sqref="C45">
    <cfRule type="expression" dxfId="527" priority="545">
      <formula>MOD(ROW(),2)=0</formula>
    </cfRule>
  </conditionalFormatting>
  <conditionalFormatting sqref="C48:C49">
    <cfRule type="expression" dxfId="526" priority="544">
      <formula>MOD(ROW(),2)=0</formula>
    </cfRule>
  </conditionalFormatting>
  <conditionalFormatting sqref="C48:C49">
    <cfRule type="expression" dxfId="525" priority="543">
      <formula>MOD(ROW(),2)=0</formula>
    </cfRule>
  </conditionalFormatting>
  <conditionalFormatting sqref="C50">
    <cfRule type="expression" dxfId="524" priority="542">
      <formula>MOD(ROW(),2)=0</formula>
    </cfRule>
  </conditionalFormatting>
  <conditionalFormatting sqref="C50">
    <cfRule type="expression" dxfId="523" priority="541">
      <formula>MOD(ROW(),2)=0</formula>
    </cfRule>
  </conditionalFormatting>
  <conditionalFormatting sqref="C51">
    <cfRule type="expression" dxfId="522" priority="540">
      <formula>MOD(ROW(),2)=0</formula>
    </cfRule>
  </conditionalFormatting>
  <conditionalFormatting sqref="C51">
    <cfRule type="expression" dxfId="521" priority="539">
      <formula>MOD(ROW(),2)=0</formula>
    </cfRule>
  </conditionalFormatting>
  <conditionalFormatting sqref="C52">
    <cfRule type="expression" dxfId="520" priority="538">
      <formula>MOD(ROW(),2)=0</formula>
    </cfRule>
  </conditionalFormatting>
  <conditionalFormatting sqref="C52">
    <cfRule type="expression" dxfId="519" priority="537">
      <formula>MOD(ROW(),2)=0</formula>
    </cfRule>
  </conditionalFormatting>
  <conditionalFormatting sqref="C54">
    <cfRule type="expression" dxfId="518" priority="534">
      <formula>MOD(ROW(),2)=0</formula>
    </cfRule>
  </conditionalFormatting>
  <conditionalFormatting sqref="C54">
    <cfRule type="expression" dxfId="517" priority="533">
      <formula>MOD(ROW(),2)=0</formula>
    </cfRule>
  </conditionalFormatting>
  <conditionalFormatting sqref="C53">
    <cfRule type="expression" dxfId="516" priority="536">
      <formula>MOD(ROW(),2)=0</formula>
    </cfRule>
  </conditionalFormatting>
  <conditionalFormatting sqref="C53">
    <cfRule type="expression" dxfId="515" priority="535">
      <formula>MOD(ROW(),2)=0</formula>
    </cfRule>
  </conditionalFormatting>
  <conditionalFormatting sqref="C56">
    <cfRule type="expression" dxfId="514" priority="532">
      <formula>MOD(ROW(),2)=0</formula>
    </cfRule>
  </conditionalFormatting>
  <conditionalFormatting sqref="C56">
    <cfRule type="expression" dxfId="513" priority="531">
      <formula>MOD(ROW(),2)=0</formula>
    </cfRule>
  </conditionalFormatting>
  <conditionalFormatting sqref="C24">
    <cfRule type="expression" dxfId="512" priority="530">
      <formula>MOD(ROW(),2)=0</formula>
    </cfRule>
  </conditionalFormatting>
  <conditionalFormatting sqref="C24">
    <cfRule type="expression" dxfId="511" priority="529">
      <formula>MOD(ROW(),2)=0</formula>
    </cfRule>
  </conditionalFormatting>
  <conditionalFormatting sqref="C25">
    <cfRule type="expression" dxfId="510" priority="528">
      <formula>MOD(ROW(),2)=0</formula>
    </cfRule>
  </conditionalFormatting>
  <conditionalFormatting sqref="C25">
    <cfRule type="expression" dxfId="509" priority="527">
      <formula>MOD(ROW(),2)=0</formula>
    </cfRule>
  </conditionalFormatting>
  <conditionalFormatting sqref="D42:E42">
    <cfRule type="expression" dxfId="508" priority="526">
      <formula>MOD(ROW(),2)=0</formula>
    </cfRule>
  </conditionalFormatting>
  <conditionalFormatting sqref="D42:E42">
    <cfRule type="expression" dxfId="507" priority="525">
      <formula>MOD(ROW(),2)=0</formula>
    </cfRule>
  </conditionalFormatting>
  <conditionalFormatting sqref="D43">
    <cfRule type="expression" dxfId="506" priority="524">
      <formula>MOD(ROW(),2)=0</formula>
    </cfRule>
  </conditionalFormatting>
  <conditionalFormatting sqref="D43">
    <cfRule type="expression" dxfId="505" priority="523">
      <formula>MOD(ROW(),2)=0</formula>
    </cfRule>
  </conditionalFormatting>
  <conditionalFormatting sqref="F57">
    <cfRule type="expression" dxfId="504" priority="522">
      <formula>MOD(ROW(),2)=0</formula>
    </cfRule>
  </conditionalFormatting>
  <conditionalFormatting sqref="D61:I61">
    <cfRule type="expression" dxfId="503" priority="510">
      <formula>MOD(ROW(),2)=0</formula>
    </cfRule>
  </conditionalFormatting>
  <conditionalFormatting sqref="D61:I61">
    <cfRule type="expression" dxfId="502" priority="509">
      <formula>MOD(ROW(),2)=0</formula>
    </cfRule>
  </conditionalFormatting>
  <conditionalFormatting sqref="D61:I61">
    <cfRule type="expression" dxfId="501" priority="508">
      <formula>MOD(ROW(),2)=0</formula>
    </cfRule>
  </conditionalFormatting>
  <conditionalFormatting sqref="D61:I61">
    <cfRule type="expression" dxfId="500" priority="507">
      <formula>MOD(ROW(),2)=0</formula>
    </cfRule>
  </conditionalFormatting>
  <conditionalFormatting sqref="D61:I61">
    <cfRule type="expression" dxfId="499" priority="514">
      <formula>MOD(ROW(),2)=0</formula>
    </cfRule>
  </conditionalFormatting>
  <conditionalFormatting sqref="D61:I61">
    <cfRule type="expression" dxfId="498" priority="513">
      <formula>MOD(ROW(),2)=0</formula>
    </cfRule>
  </conditionalFormatting>
  <conditionalFormatting sqref="D61:I61">
    <cfRule type="expression" dxfId="497" priority="512">
      <formula>MOD(ROW(),2)=0</formula>
    </cfRule>
  </conditionalFormatting>
  <conditionalFormatting sqref="D61:I61">
    <cfRule type="expression" dxfId="496" priority="511">
      <formula>MOD(ROW(),2)=0</formula>
    </cfRule>
  </conditionalFormatting>
  <conditionalFormatting sqref="D60:I60 B60">
    <cfRule type="expression" dxfId="495" priority="502">
      <formula>MOD(ROW(),2)=0</formula>
    </cfRule>
  </conditionalFormatting>
  <conditionalFormatting sqref="D60:I60 B60">
    <cfRule type="expression" dxfId="494" priority="501">
      <formula>MOD(ROW(),2)=0</formula>
    </cfRule>
  </conditionalFormatting>
  <conditionalFormatting sqref="C60">
    <cfRule type="expression" dxfId="493" priority="500">
      <formula>MOD(ROW(),2)=0</formula>
    </cfRule>
  </conditionalFormatting>
  <conditionalFormatting sqref="C60">
    <cfRule type="expression" dxfId="492" priority="499">
      <formula>MOD(ROW(),2)=0</formula>
    </cfRule>
  </conditionalFormatting>
  <conditionalFormatting sqref="D62:I62">
    <cfRule type="expression" dxfId="491" priority="506">
      <formula>MOD(ROW(),2)=0</formula>
    </cfRule>
  </conditionalFormatting>
  <conditionalFormatting sqref="D62:I62">
    <cfRule type="expression" dxfId="490" priority="505">
      <formula>MOD(ROW(),2)=0</formula>
    </cfRule>
  </conditionalFormatting>
  <conditionalFormatting sqref="D62:I62">
    <cfRule type="expression" dxfId="489" priority="504">
      <formula>MOD(ROW(),2)=0</formula>
    </cfRule>
  </conditionalFormatting>
  <conditionalFormatting sqref="D62:I62">
    <cfRule type="expression" dxfId="488" priority="503">
      <formula>MOD(ROW(),2)=0</formula>
    </cfRule>
  </conditionalFormatting>
  <conditionalFormatting sqref="I8">
    <cfRule type="expression" dxfId="487" priority="487">
      <formula>MOD(ROW(),2)=0</formula>
    </cfRule>
  </conditionalFormatting>
  <conditionalFormatting sqref="D60:I60">
    <cfRule type="expression" dxfId="486" priority="498">
      <formula>MOD(ROW(),2)=0</formula>
    </cfRule>
  </conditionalFormatting>
  <conditionalFormatting sqref="D60:I60">
    <cfRule type="expression" dxfId="485" priority="497">
      <formula>MOD(ROW(),2)=0</formula>
    </cfRule>
  </conditionalFormatting>
  <conditionalFormatting sqref="I8">
    <cfRule type="expression" dxfId="484" priority="488">
      <formula>MOD(ROW(),2)=0</formula>
    </cfRule>
  </conditionalFormatting>
  <conditionalFormatting sqref="B63:I63">
    <cfRule type="expression" dxfId="483" priority="494">
      <formula>MOD(ROW(),2)=0</formula>
    </cfRule>
  </conditionalFormatting>
  <conditionalFormatting sqref="B63:I63">
    <cfRule type="expression" dxfId="482" priority="493">
      <formula>MOD(ROW(),2)=0</formula>
    </cfRule>
  </conditionalFormatting>
  <conditionalFormatting sqref="F8">
    <cfRule type="expression" dxfId="481" priority="492">
      <formula>MOD(ROW(),2)=0</formula>
    </cfRule>
  </conditionalFormatting>
  <conditionalFormatting sqref="G8">
    <cfRule type="expression" dxfId="480" priority="491">
      <formula>MOD(ROW(),2)=0</formula>
    </cfRule>
  </conditionalFormatting>
  <conditionalFormatting sqref="H8">
    <cfRule type="expression" dxfId="479" priority="490">
      <formula>MOD(ROW(),2)=0</formula>
    </cfRule>
  </conditionalFormatting>
  <conditionalFormatting sqref="H8">
    <cfRule type="expression" dxfId="478" priority="489">
      <formula>MOD(ROW(),2)=0</formula>
    </cfRule>
  </conditionalFormatting>
  <conditionalFormatting sqref="D15">
    <cfRule type="expression" dxfId="477" priority="486">
      <formula>MOD(ROW(),2)=0</formula>
    </cfRule>
  </conditionalFormatting>
  <conditionalFormatting sqref="D15">
    <cfRule type="expression" dxfId="476" priority="485">
      <formula>MOD(ROW(),2)=0</formula>
    </cfRule>
  </conditionalFormatting>
  <conditionalFormatting sqref="D17">
    <cfRule type="expression" dxfId="475" priority="484">
      <formula>MOD(ROW(),2)=0</formula>
    </cfRule>
  </conditionalFormatting>
  <conditionalFormatting sqref="D17">
    <cfRule type="expression" dxfId="474" priority="483">
      <formula>MOD(ROW(),2)=0</formula>
    </cfRule>
  </conditionalFormatting>
  <conditionalFormatting sqref="D16">
    <cfRule type="expression" dxfId="473" priority="482">
      <formula>MOD(ROW(),2)=0</formula>
    </cfRule>
  </conditionalFormatting>
  <conditionalFormatting sqref="D16">
    <cfRule type="expression" dxfId="472" priority="481">
      <formula>MOD(ROW(),2)=0</formula>
    </cfRule>
  </conditionalFormatting>
  <conditionalFormatting sqref="D13:D14">
    <cfRule type="expression" dxfId="471" priority="480">
      <formula>MOD(ROW(),2)=0</formula>
    </cfRule>
  </conditionalFormatting>
  <conditionalFormatting sqref="D13:D14">
    <cfRule type="expression" dxfId="470" priority="479">
      <formula>MOD(ROW(),2)=0</formula>
    </cfRule>
  </conditionalFormatting>
  <conditionalFormatting sqref="E15">
    <cfRule type="expression" dxfId="469" priority="478">
      <formula>MOD(ROW(),2)=0</formula>
    </cfRule>
  </conditionalFormatting>
  <conditionalFormatting sqref="E15">
    <cfRule type="expression" dxfId="468" priority="477">
      <formula>MOD(ROW(),2)=0</formula>
    </cfRule>
  </conditionalFormatting>
  <conditionalFormatting sqref="E17">
    <cfRule type="expression" dxfId="467" priority="476">
      <formula>MOD(ROW(),2)=0</formula>
    </cfRule>
  </conditionalFormatting>
  <conditionalFormatting sqref="E17">
    <cfRule type="expression" dxfId="466" priority="475">
      <formula>MOD(ROW(),2)=0</formula>
    </cfRule>
  </conditionalFormatting>
  <conditionalFormatting sqref="E16">
    <cfRule type="expression" dxfId="465" priority="474">
      <formula>MOD(ROW(),2)=0</formula>
    </cfRule>
  </conditionalFormatting>
  <conditionalFormatting sqref="E16">
    <cfRule type="expression" dxfId="464" priority="473">
      <formula>MOD(ROW(),2)=0</formula>
    </cfRule>
  </conditionalFormatting>
  <conditionalFormatting sqref="E13:E14">
    <cfRule type="expression" dxfId="463" priority="472">
      <formula>MOD(ROW(),2)=0</formula>
    </cfRule>
  </conditionalFormatting>
  <conditionalFormatting sqref="E13:E14">
    <cfRule type="expression" dxfId="462" priority="471">
      <formula>MOD(ROW(),2)=0</formula>
    </cfRule>
  </conditionalFormatting>
  <conditionalFormatting sqref="F15">
    <cfRule type="expression" dxfId="461" priority="470">
      <formula>MOD(ROW(),2)=0</formula>
    </cfRule>
  </conditionalFormatting>
  <conditionalFormatting sqref="F15">
    <cfRule type="expression" dxfId="460" priority="469">
      <formula>MOD(ROW(),2)=0</formula>
    </cfRule>
  </conditionalFormatting>
  <conditionalFormatting sqref="F17">
    <cfRule type="expression" dxfId="459" priority="468">
      <formula>MOD(ROW(),2)=0</formula>
    </cfRule>
  </conditionalFormatting>
  <conditionalFormatting sqref="F17">
    <cfRule type="expression" dxfId="458" priority="467">
      <formula>MOD(ROW(),2)=0</formula>
    </cfRule>
  </conditionalFormatting>
  <conditionalFormatting sqref="F16">
    <cfRule type="expression" dxfId="457" priority="466">
      <formula>MOD(ROW(),2)=0</formula>
    </cfRule>
  </conditionalFormatting>
  <conditionalFormatting sqref="F16">
    <cfRule type="expression" dxfId="456" priority="465">
      <formula>MOD(ROW(),2)=0</formula>
    </cfRule>
  </conditionalFormatting>
  <conditionalFormatting sqref="F13:F14">
    <cfRule type="expression" dxfId="455" priority="464">
      <formula>MOD(ROW(),2)=0</formula>
    </cfRule>
  </conditionalFormatting>
  <conditionalFormatting sqref="F13:F14">
    <cfRule type="expression" dxfId="454" priority="463">
      <formula>MOD(ROW(),2)=0</formula>
    </cfRule>
  </conditionalFormatting>
  <conditionalFormatting sqref="G15">
    <cfRule type="expression" dxfId="453" priority="462">
      <formula>MOD(ROW(),2)=0</formula>
    </cfRule>
  </conditionalFormatting>
  <conditionalFormatting sqref="G15">
    <cfRule type="expression" dxfId="452" priority="461">
      <formula>MOD(ROW(),2)=0</formula>
    </cfRule>
  </conditionalFormatting>
  <conditionalFormatting sqref="G17">
    <cfRule type="expression" dxfId="451" priority="460">
      <formula>MOD(ROW(),2)=0</formula>
    </cfRule>
  </conditionalFormatting>
  <conditionalFormatting sqref="G17">
    <cfRule type="expression" dxfId="450" priority="459">
      <formula>MOD(ROW(),2)=0</formula>
    </cfRule>
  </conditionalFormatting>
  <conditionalFormatting sqref="G16">
    <cfRule type="expression" dxfId="449" priority="458">
      <formula>MOD(ROW(),2)=0</formula>
    </cfRule>
  </conditionalFormatting>
  <conditionalFormatting sqref="G16">
    <cfRule type="expression" dxfId="448" priority="457">
      <formula>MOD(ROW(),2)=0</formula>
    </cfRule>
  </conditionalFormatting>
  <conditionalFormatting sqref="G13:G14">
    <cfRule type="expression" dxfId="447" priority="456">
      <formula>MOD(ROW(),2)=0</formula>
    </cfRule>
  </conditionalFormatting>
  <conditionalFormatting sqref="G13:G14">
    <cfRule type="expression" dxfId="446" priority="455">
      <formula>MOD(ROW(),2)=0</formula>
    </cfRule>
  </conditionalFormatting>
  <conditionalFormatting sqref="I13:I14">
    <cfRule type="expression" dxfId="445" priority="439">
      <formula>MOD(ROW(),2)=0</formula>
    </cfRule>
  </conditionalFormatting>
  <conditionalFormatting sqref="H15">
    <cfRule type="expression" dxfId="444" priority="454">
      <formula>MOD(ROW(),2)=0</formula>
    </cfRule>
  </conditionalFormatting>
  <conditionalFormatting sqref="H15">
    <cfRule type="expression" dxfId="443" priority="453">
      <formula>MOD(ROW(),2)=0</formula>
    </cfRule>
  </conditionalFormatting>
  <conditionalFormatting sqref="H17">
    <cfRule type="expression" dxfId="442" priority="452">
      <formula>MOD(ROW(),2)=0</formula>
    </cfRule>
  </conditionalFormatting>
  <conditionalFormatting sqref="H17">
    <cfRule type="expression" dxfId="441" priority="451">
      <formula>MOD(ROW(),2)=0</formula>
    </cfRule>
  </conditionalFormatting>
  <conditionalFormatting sqref="H16">
    <cfRule type="expression" dxfId="440" priority="450">
      <formula>MOD(ROW(),2)=0</formula>
    </cfRule>
  </conditionalFormatting>
  <conditionalFormatting sqref="H16">
    <cfRule type="expression" dxfId="439" priority="449">
      <formula>MOD(ROW(),2)=0</formula>
    </cfRule>
  </conditionalFormatting>
  <conditionalFormatting sqref="H13:H14">
    <cfRule type="expression" dxfId="438" priority="448">
      <formula>MOD(ROW(),2)=0</formula>
    </cfRule>
  </conditionalFormatting>
  <conditionalFormatting sqref="H13:H14">
    <cfRule type="expression" dxfId="437" priority="447">
      <formula>MOD(ROW(),2)=0</formula>
    </cfRule>
  </conditionalFormatting>
  <conditionalFormatting sqref="I15">
    <cfRule type="expression" dxfId="436" priority="446">
      <formula>MOD(ROW(),2)=0</formula>
    </cfRule>
  </conditionalFormatting>
  <conditionalFormatting sqref="I15">
    <cfRule type="expression" dxfId="435" priority="445">
      <formula>MOD(ROW(),2)=0</formula>
    </cfRule>
  </conditionalFormatting>
  <conditionalFormatting sqref="I17">
    <cfRule type="expression" dxfId="434" priority="444">
      <formula>MOD(ROW(),2)=0</formula>
    </cfRule>
  </conditionalFormatting>
  <conditionalFormatting sqref="I17">
    <cfRule type="expression" dxfId="433" priority="443">
      <formula>MOD(ROW(),2)=0</formula>
    </cfRule>
  </conditionalFormatting>
  <conditionalFormatting sqref="I16">
    <cfRule type="expression" dxfId="432" priority="442">
      <formula>MOD(ROW(),2)=0</formula>
    </cfRule>
  </conditionalFormatting>
  <conditionalFormatting sqref="I16">
    <cfRule type="expression" dxfId="431" priority="441">
      <formula>MOD(ROW(),2)=0</formula>
    </cfRule>
  </conditionalFormatting>
  <conditionalFormatting sqref="I13:I14">
    <cfRule type="expression" dxfId="430" priority="440">
      <formula>MOD(ROW(),2)=0</formula>
    </cfRule>
  </conditionalFormatting>
  <conditionalFormatting sqref="E20">
    <cfRule type="expression" dxfId="429" priority="438">
      <formula>MOD(ROW(),2)=0</formula>
    </cfRule>
  </conditionalFormatting>
  <conditionalFormatting sqref="E20">
    <cfRule type="expression" dxfId="428" priority="437">
      <formula>MOD(ROW(),2)=0</formula>
    </cfRule>
  </conditionalFormatting>
  <conditionalFormatting sqref="E22">
    <cfRule type="expression" dxfId="427" priority="436">
      <formula>MOD(ROW(),2)=0</formula>
    </cfRule>
  </conditionalFormatting>
  <conditionalFormatting sqref="E22">
    <cfRule type="expression" dxfId="426" priority="435">
      <formula>MOD(ROW(),2)=0</formula>
    </cfRule>
  </conditionalFormatting>
  <conditionalFormatting sqref="E21">
    <cfRule type="expression" dxfId="425" priority="434">
      <formula>MOD(ROW(),2)=0</formula>
    </cfRule>
  </conditionalFormatting>
  <conditionalFormatting sqref="E21">
    <cfRule type="expression" dxfId="424" priority="433">
      <formula>MOD(ROW(),2)=0</formula>
    </cfRule>
  </conditionalFormatting>
  <conditionalFormatting sqref="E18:E19">
    <cfRule type="expression" dxfId="423" priority="432">
      <formula>MOD(ROW(),2)=0</formula>
    </cfRule>
  </conditionalFormatting>
  <conditionalFormatting sqref="E18:E19">
    <cfRule type="expression" dxfId="422" priority="431">
      <formula>MOD(ROW(),2)=0</formula>
    </cfRule>
  </conditionalFormatting>
  <conditionalFormatting sqref="E20">
    <cfRule type="expression" dxfId="421" priority="430">
      <formula>MOD(ROW(),2)=0</formula>
    </cfRule>
  </conditionalFormatting>
  <conditionalFormatting sqref="E20">
    <cfRule type="expression" dxfId="420" priority="429">
      <formula>MOD(ROW(),2)=0</formula>
    </cfRule>
  </conditionalFormatting>
  <conditionalFormatting sqref="E22">
    <cfRule type="expression" dxfId="419" priority="428">
      <formula>MOD(ROW(),2)=0</formula>
    </cfRule>
  </conditionalFormatting>
  <conditionalFormatting sqref="E22">
    <cfRule type="expression" dxfId="418" priority="427">
      <formula>MOD(ROW(),2)=0</formula>
    </cfRule>
  </conditionalFormatting>
  <conditionalFormatting sqref="F20">
    <cfRule type="expression" dxfId="417" priority="426">
      <formula>MOD(ROW(),2)=0</formula>
    </cfRule>
  </conditionalFormatting>
  <conditionalFormatting sqref="F20">
    <cfRule type="expression" dxfId="416" priority="425">
      <formula>MOD(ROW(),2)=0</formula>
    </cfRule>
  </conditionalFormatting>
  <conditionalFormatting sqref="F22">
    <cfRule type="expression" dxfId="415" priority="424">
      <formula>MOD(ROW(),2)=0</formula>
    </cfRule>
  </conditionalFormatting>
  <conditionalFormatting sqref="F22">
    <cfRule type="expression" dxfId="414" priority="423">
      <formula>MOD(ROW(),2)=0</formula>
    </cfRule>
  </conditionalFormatting>
  <conditionalFormatting sqref="F21">
    <cfRule type="expression" dxfId="413" priority="422">
      <formula>MOD(ROW(),2)=0</formula>
    </cfRule>
  </conditionalFormatting>
  <conditionalFormatting sqref="F21">
    <cfRule type="expression" dxfId="412" priority="421">
      <formula>MOD(ROW(),2)=0</formula>
    </cfRule>
  </conditionalFormatting>
  <conditionalFormatting sqref="F18:F19">
    <cfRule type="expression" dxfId="411" priority="420">
      <formula>MOD(ROW(),2)=0</formula>
    </cfRule>
  </conditionalFormatting>
  <conditionalFormatting sqref="F18:F19">
    <cfRule type="expression" dxfId="410" priority="419">
      <formula>MOD(ROW(),2)=0</formula>
    </cfRule>
  </conditionalFormatting>
  <conditionalFormatting sqref="F20">
    <cfRule type="expression" dxfId="409" priority="418">
      <formula>MOD(ROW(),2)=0</formula>
    </cfRule>
  </conditionalFormatting>
  <conditionalFormatting sqref="F20">
    <cfRule type="expression" dxfId="408" priority="417">
      <formula>MOD(ROW(),2)=0</formula>
    </cfRule>
  </conditionalFormatting>
  <conditionalFormatting sqref="F22">
    <cfRule type="expression" dxfId="407" priority="416">
      <formula>MOD(ROW(),2)=0</formula>
    </cfRule>
  </conditionalFormatting>
  <conditionalFormatting sqref="F22">
    <cfRule type="expression" dxfId="406" priority="415">
      <formula>MOD(ROW(),2)=0</formula>
    </cfRule>
  </conditionalFormatting>
  <conditionalFormatting sqref="G20">
    <cfRule type="expression" dxfId="405" priority="414">
      <formula>MOD(ROW(),2)=0</formula>
    </cfRule>
  </conditionalFormatting>
  <conditionalFormatting sqref="G20">
    <cfRule type="expression" dxfId="404" priority="413">
      <formula>MOD(ROW(),2)=0</formula>
    </cfRule>
  </conditionalFormatting>
  <conditionalFormatting sqref="G22">
    <cfRule type="expression" dxfId="403" priority="412">
      <formula>MOD(ROW(),2)=0</formula>
    </cfRule>
  </conditionalFormatting>
  <conditionalFormatting sqref="G22">
    <cfRule type="expression" dxfId="402" priority="411">
      <formula>MOD(ROW(),2)=0</formula>
    </cfRule>
  </conditionalFormatting>
  <conditionalFormatting sqref="G21">
    <cfRule type="expression" dxfId="401" priority="410">
      <formula>MOD(ROW(),2)=0</formula>
    </cfRule>
  </conditionalFormatting>
  <conditionalFormatting sqref="G21">
    <cfRule type="expression" dxfId="400" priority="409">
      <formula>MOD(ROW(),2)=0</formula>
    </cfRule>
  </conditionalFormatting>
  <conditionalFormatting sqref="G18:G19">
    <cfRule type="expression" dxfId="399" priority="408">
      <formula>MOD(ROW(),2)=0</formula>
    </cfRule>
  </conditionalFormatting>
  <conditionalFormatting sqref="G18:G19">
    <cfRule type="expression" dxfId="398" priority="407">
      <formula>MOD(ROW(),2)=0</formula>
    </cfRule>
  </conditionalFormatting>
  <conditionalFormatting sqref="G20">
    <cfRule type="expression" dxfId="397" priority="406">
      <formula>MOD(ROW(),2)=0</formula>
    </cfRule>
  </conditionalFormatting>
  <conditionalFormatting sqref="G20">
    <cfRule type="expression" dxfId="396" priority="405">
      <formula>MOD(ROW(),2)=0</formula>
    </cfRule>
  </conditionalFormatting>
  <conditionalFormatting sqref="G22">
    <cfRule type="expression" dxfId="395" priority="404">
      <formula>MOD(ROW(),2)=0</formula>
    </cfRule>
  </conditionalFormatting>
  <conditionalFormatting sqref="G22">
    <cfRule type="expression" dxfId="394" priority="403">
      <formula>MOD(ROW(),2)=0</formula>
    </cfRule>
  </conditionalFormatting>
  <conditionalFormatting sqref="I22">
    <cfRule type="expression" dxfId="393" priority="379">
      <formula>MOD(ROW(),2)=0</formula>
    </cfRule>
  </conditionalFormatting>
  <conditionalFormatting sqref="H20">
    <cfRule type="expression" dxfId="392" priority="402">
      <formula>MOD(ROW(),2)=0</formula>
    </cfRule>
  </conditionalFormatting>
  <conditionalFormatting sqref="H20">
    <cfRule type="expression" dxfId="391" priority="401">
      <formula>MOD(ROW(),2)=0</formula>
    </cfRule>
  </conditionalFormatting>
  <conditionalFormatting sqref="H22">
    <cfRule type="expression" dxfId="390" priority="400">
      <formula>MOD(ROW(),2)=0</formula>
    </cfRule>
  </conditionalFormatting>
  <conditionalFormatting sqref="H22">
    <cfRule type="expression" dxfId="389" priority="399">
      <formula>MOD(ROW(),2)=0</formula>
    </cfRule>
  </conditionalFormatting>
  <conditionalFormatting sqref="H21">
    <cfRule type="expression" dxfId="388" priority="398">
      <formula>MOD(ROW(),2)=0</formula>
    </cfRule>
  </conditionalFormatting>
  <conditionalFormatting sqref="H21">
    <cfRule type="expression" dxfId="387" priority="397">
      <formula>MOD(ROW(),2)=0</formula>
    </cfRule>
  </conditionalFormatting>
  <conditionalFormatting sqref="H18:H19">
    <cfRule type="expression" dxfId="386" priority="396">
      <formula>MOD(ROW(),2)=0</formula>
    </cfRule>
  </conditionalFormatting>
  <conditionalFormatting sqref="H18:H19">
    <cfRule type="expression" dxfId="385" priority="395">
      <formula>MOD(ROW(),2)=0</formula>
    </cfRule>
  </conditionalFormatting>
  <conditionalFormatting sqref="H20">
    <cfRule type="expression" dxfId="384" priority="394">
      <formula>MOD(ROW(),2)=0</formula>
    </cfRule>
  </conditionalFormatting>
  <conditionalFormatting sqref="H20">
    <cfRule type="expression" dxfId="383" priority="393">
      <formula>MOD(ROW(),2)=0</formula>
    </cfRule>
  </conditionalFormatting>
  <conditionalFormatting sqref="H22">
    <cfRule type="expression" dxfId="382" priority="392">
      <formula>MOD(ROW(),2)=0</formula>
    </cfRule>
  </conditionalFormatting>
  <conditionalFormatting sqref="H22">
    <cfRule type="expression" dxfId="381" priority="391">
      <formula>MOD(ROW(),2)=0</formula>
    </cfRule>
  </conditionalFormatting>
  <conditionalFormatting sqref="I20">
    <cfRule type="expression" dxfId="380" priority="390">
      <formula>MOD(ROW(),2)=0</formula>
    </cfRule>
  </conditionalFormatting>
  <conditionalFormatting sqref="I20">
    <cfRule type="expression" dxfId="379" priority="389">
      <formula>MOD(ROW(),2)=0</formula>
    </cfRule>
  </conditionalFormatting>
  <conditionalFormatting sqref="I22">
    <cfRule type="expression" dxfId="378" priority="388">
      <formula>MOD(ROW(),2)=0</formula>
    </cfRule>
  </conditionalFormatting>
  <conditionalFormatting sqref="I22">
    <cfRule type="expression" dxfId="377" priority="387">
      <formula>MOD(ROW(),2)=0</formula>
    </cfRule>
  </conditionalFormatting>
  <conditionalFormatting sqref="I21">
    <cfRule type="expression" dxfId="376" priority="386">
      <formula>MOD(ROW(),2)=0</formula>
    </cfRule>
  </conditionalFormatting>
  <conditionalFormatting sqref="I21">
    <cfRule type="expression" dxfId="375" priority="385">
      <formula>MOD(ROW(),2)=0</formula>
    </cfRule>
  </conditionalFormatting>
  <conditionalFormatting sqref="I18:I19">
    <cfRule type="expression" dxfId="374" priority="384">
      <formula>MOD(ROW(),2)=0</formula>
    </cfRule>
  </conditionalFormatting>
  <conditionalFormatting sqref="I18:I19">
    <cfRule type="expression" dxfId="373" priority="383">
      <formula>MOD(ROW(),2)=0</formula>
    </cfRule>
  </conditionalFormatting>
  <conditionalFormatting sqref="I20">
    <cfRule type="expression" dxfId="372" priority="382">
      <formula>MOD(ROW(),2)=0</formula>
    </cfRule>
  </conditionalFormatting>
  <conditionalFormatting sqref="I20">
    <cfRule type="expression" dxfId="371" priority="381">
      <formula>MOD(ROW(),2)=0</formula>
    </cfRule>
  </conditionalFormatting>
  <conditionalFormatting sqref="I22">
    <cfRule type="expression" dxfId="370" priority="380">
      <formula>MOD(ROW(),2)=0</formula>
    </cfRule>
  </conditionalFormatting>
  <conditionalFormatting sqref="F42:F44">
    <cfRule type="expression" dxfId="369" priority="378">
      <formula>MOD(ROW(),2)=0</formula>
    </cfRule>
  </conditionalFormatting>
  <conditionalFormatting sqref="F42:F44">
    <cfRule type="expression" dxfId="368" priority="377">
      <formula>MOD(ROW(),2)=0</formula>
    </cfRule>
  </conditionalFormatting>
  <conditionalFormatting sqref="F43">
    <cfRule type="expression" dxfId="367" priority="376">
      <formula>MOD(ROW(),2)=0</formula>
    </cfRule>
  </conditionalFormatting>
  <conditionalFormatting sqref="F43">
    <cfRule type="expression" dxfId="366" priority="375">
      <formula>MOD(ROW(),2)=0</formula>
    </cfRule>
  </conditionalFormatting>
  <conditionalFormatting sqref="F44">
    <cfRule type="expression" dxfId="365" priority="374">
      <formula>MOD(ROW(),2)=0</formula>
    </cfRule>
  </conditionalFormatting>
  <conditionalFormatting sqref="F44">
    <cfRule type="expression" dxfId="364" priority="373">
      <formula>MOD(ROW(),2)=0</formula>
    </cfRule>
  </conditionalFormatting>
  <conditionalFormatting sqref="F42">
    <cfRule type="expression" dxfId="363" priority="372">
      <formula>MOD(ROW(),2)=0</formula>
    </cfRule>
  </conditionalFormatting>
  <conditionalFormatting sqref="F42">
    <cfRule type="expression" dxfId="362" priority="371">
      <formula>MOD(ROW(),2)=0</formula>
    </cfRule>
  </conditionalFormatting>
  <conditionalFormatting sqref="F43">
    <cfRule type="expression" dxfId="361" priority="370">
      <formula>MOD(ROW(),2)=0</formula>
    </cfRule>
  </conditionalFormatting>
  <conditionalFormatting sqref="F43">
    <cfRule type="expression" dxfId="360" priority="369">
      <formula>MOD(ROW(),2)=0</formula>
    </cfRule>
  </conditionalFormatting>
  <conditionalFormatting sqref="I43">
    <cfRule type="expression" dxfId="359" priority="339">
      <formula>MOD(ROW(),2)=0</formula>
    </cfRule>
  </conditionalFormatting>
  <conditionalFormatting sqref="G42:G44">
    <cfRule type="expression" dxfId="358" priority="368">
      <formula>MOD(ROW(),2)=0</formula>
    </cfRule>
  </conditionalFormatting>
  <conditionalFormatting sqref="G42:G44">
    <cfRule type="expression" dxfId="357" priority="367">
      <formula>MOD(ROW(),2)=0</formula>
    </cfRule>
  </conditionalFormatting>
  <conditionalFormatting sqref="G43">
    <cfRule type="expression" dxfId="356" priority="366">
      <formula>MOD(ROW(),2)=0</formula>
    </cfRule>
  </conditionalFormatting>
  <conditionalFormatting sqref="G43">
    <cfRule type="expression" dxfId="355" priority="365">
      <formula>MOD(ROW(),2)=0</formula>
    </cfRule>
  </conditionalFormatting>
  <conditionalFormatting sqref="G44">
    <cfRule type="expression" dxfId="354" priority="364">
      <formula>MOD(ROW(),2)=0</formula>
    </cfRule>
  </conditionalFormatting>
  <conditionalFormatting sqref="G44">
    <cfRule type="expression" dxfId="353" priority="363">
      <formula>MOD(ROW(),2)=0</formula>
    </cfRule>
  </conditionalFormatting>
  <conditionalFormatting sqref="G42">
    <cfRule type="expression" dxfId="352" priority="362">
      <formula>MOD(ROW(),2)=0</formula>
    </cfRule>
  </conditionalFormatting>
  <conditionalFormatting sqref="G42">
    <cfRule type="expression" dxfId="351" priority="361">
      <formula>MOD(ROW(),2)=0</formula>
    </cfRule>
  </conditionalFormatting>
  <conditionalFormatting sqref="G43">
    <cfRule type="expression" dxfId="350" priority="360">
      <formula>MOD(ROW(),2)=0</formula>
    </cfRule>
  </conditionalFormatting>
  <conditionalFormatting sqref="G43">
    <cfRule type="expression" dxfId="349" priority="359">
      <formula>MOD(ROW(),2)=0</formula>
    </cfRule>
  </conditionalFormatting>
  <conditionalFormatting sqref="H42:H44">
    <cfRule type="expression" dxfId="348" priority="358">
      <formula>MOD(ROW(),2)=0</formula>
    </cfRule>
  </conditionalFormatting>
  <conditionalFormatting sqref="H42:H44">
    <cfRule type="expression" dxfId="347" priority="357">
      <formula>MOD(ROW(),2)=0</formula>
    </cfRule>
  </conditionalFormatting>
  <conditionalFormatting sqref="H43">
    <cfRule type="expression" dxfId="346" priority="356">
      <formula>MOD(ROW(),2)=0</formula>
    </cfRule>
  </conditionalFormatting>
  <conditionalFormatting sqref="H43">
    <cfRule type="expression" dxfId="345" priority="355">
      <formula>MOD(ROW(),2)=0</formula>
    </cfRule>
  </conditionalFormatting>
  <conditionalFormatting sqref="H44">
    <cfRule type="expression" dxfId="344" priority="354">
      <formula>MOD(ROW(),2)=0</formula>
    </cfRule>
  </conditionalFormatting>
  <conditionalFormatting sqref="H44">
    <cfRule type="expression" dxfId="343" priority="353">
      <formula>MOD(ROW(),2)=0</formula>
    </cfRule>
  </conditionalFormatting>
  <conditionalFormatting sqref="H42">
    <cfRule type="expression" dxfId="342" priority="352">
      <formula>MOD(ROW(),2)=0</formula>
    </cfRule>
  </conditionalFormatting>
  <conditionalFormatting sqref="H42">
    <cfRule type="expression" dxfId="341" priority="351">
      <formula>MOD(ROW(),2)=0</formula>
    </cfRule>
  </conditionalFormatting>
  <conditionalFormatting sqref="H43">
    <cfRule type="expression" dxfId="340" priority="350">
      <formula>MOD(ROW(),2)=0</formula>
    </cfRule>
  </conditionalFormatting>
  <conditionalFormatting sqref="H43">
    <cfRule type="expression" dxfId="339" priority="349">
      <formula>MOD(ROW(),2)=0</formula>
    </cfRule>
  </conditionalFormatting>
  <conditionalFormatting sqref="I42:I44">
    <cfRule type="expression" dxfId="338" priority="348">
      <formula>MOD(ROW(),2)=0</formula>
    </cfRule>
  </conditionalFormatting>
  <conditionalFormatting sqref="I42:I44">
    <cfRule type="expression" dxfId="337" priority="347">
      <formula>MOD(ROW(),2)=0</formula>
    </cfRule>
  </conditionalFormatting>
  <conditionalFormatting sqref="I43">
    <cfRule type="expression" dxfId="336" priority="346">
      <formula>MOD(ROW(),2)=0</formula>
    </cfRule>
  </conditionalFormatting>
  <conditionalFormatting sqref="I43">
    <cfRule type="expression" dxfId="335" priority="345">
      <formula>MOD(ROW(),2)=0</formula>
    </cfRule>
  </conditionalFormatting>
  <conditionalFormatting sqref="I44">
    <cfRule type="expression" dxfId="334" priority="344">
      <formula>MOD(ROW(),2)=0</formula>
    </cfRule>
  </conditionalFormatting>
  <conditionalFormatting sqref="I44">
    <cfRule type="expression" dxfId="333" priority="343">
      <formula>MOD(ROW(),2)=0</formula>
    </cfRule>
  </conditionalFormatting>
  <conditionalFormatting sqref="I42">
    <cfRule type="expression" dxfId="332" priority="342">
      <formula>MOD(ROW(),2)=0</formula>
    </cfRule>
  </conditionalFormatting>
  <conditionalFormatting sqref="I42">
    <cfRule type="expression" dxfId="331" priority="341">
      <formula>MOD(ROW(),2)=0</formula>
    </cfRule>
  </conditionalFormatting>
  <conditionalFormatting sqref="I43">
    <cfRule type="expression" dxfId="330" priority="340">
      <formula>MOD(ROW(),2)=0</formula>
    </cfRule>
  </conditionalFormatting>
  <conditionalFormatting sqref="D26">
    <cfRule type="expression" dxfId="329" priority="338">
      <formula>MOD(ROW(),2)=0</formula>
    </cfRule>
  </conditionalFormatting>
  <conditionalFormatting sqref="D26">
    <cfRule type="expression" dxfId="328" priority="337">
      <formula>MOD(ROW(),2)=0</formula>
    </cfRule>
  </conditionalFormatting>
  <conditionalFormatting sqref="D27">
    <cfRule type="expression" dxfId="327" priority="336">
      <formula>MOD(ROW(),2)=0</formula>
    </cfRule>
  </conditionalFormatting>
  <conditionalFormatting sqref="D27">
    <cfRule type="expression" dxfId="326" priority="335">
      <formula>MOD(ROW(),2)=0</formula>
    </cfRule>
  </conditionalFormatting>
  <conditionalFormatting sqref="D28">
    <cfRule type="expression" dxfId="325" priority="334">
      <formula>MOD(ROW(),2)=0</formula>
    </cfRule>
  </conditionalFormatting>
  <conditionalFormatting sqref="D28">
    <cfRule type="expression" dxfId="324" priority="333">
      <formula>MOD(ROW(),2)=0</formula>
    </cfRule>
  </conditionalFormatting>
  <conditionalFormatting sqref="E26">
    <cfRule type="expression" dxfId="323" priority="332">
      <formula>MOD(ROW(),2)=0</formula>
    </cfRule>
  </conditionalFormatting>
  <conditionalFormatting sqref="E26">
    <cfRule type="expression" dxfId="322" priority="331">
      <formula>MOD(ROW(),2)=0</formula>
    </cfRule>
  </conditionalFormatting>
  <conditionalFormatting sqref="E27">
    <cfRule type="expression" dxfId="321" priority="330">
      <formula>MOD(ROW(),2)=0</formula>
    </cfRule>
  </conditionalFormatting>
  <conditionalFormatting sqref="E27">
    <cfRule type="expression" dxfId="320" priority="329">
      <formula>MOD(ROW(),2)=0</formula>
    </cfRule>
  </conditionalFormatting>
  <conditionalFormatting sqref="E28">
    <cfRule type="expression" dxfId="319" priority="328">
      <formula>MOD(ROW(),2)=0</formula>
    </cfRule>
  </conditionalFormatting>
  <conditionalFormatting sqref="E28">
    <cfRule type="expression" dxfId="318" priority="327">
      <formula>MOD(ROW(),2)=0</formula>
    </cfRule>
  </conditionalFormatting>
  <conditionalFormatting sqref="F30:F31">
    <cfRule type="expression" dxfId="317" priority="326">
      <formula>MOD(ROW(),2)=0</formula>
    </cfRule>
  </conditionalFormatting>
  <conditionalFormatting sqref="F30:F31">
    <cfRule type="expression" dxfId="316" priority="325">
      <formula>MOD(ROW(),2)=0</formula>
    </cfRule>
  </conditionalFormatting>
  <conditionalFormatting sqref="F29">
    <cfRule type="expression" dxfId="315" priority="324">
      <formula>MOD(ROW(),2)=0</formula>
    </cfRule>
  </conditionalFormatting>
  <conditionalFormatting sqref="F29">
    <cfRule type="expression" dxfId="314" priority="323">
      <formula>MOD(ROW(),2)=0</formula>
    </cfRule>
  </conditionalFormatting>
  <conditionalFormatting sqref="F30">
    <cfRule type="expression" dxfId="313" priority="322">
      <formula>MOD(ROW(),2)=0</formula>
    </cfRule>
  </conditionalFormatting>
  <conditionalFormatting sqref="F30">
    <cfRule type="expression" dxfId="312" priority="321">
      <formula>MOD(ROW(),2)=0</formula>
    </cfRule>
  </conditionalFormatting>
  <conditionalFormatting sqref="F31">
    <cfRule type="expression" dxfId="311" priority="320">
      <formula>MOD(ROW(),2)=0</formula>
    </cfRule>
  </conditionalFormatting>
  <conditionalFormatting sqref="F31">
    <cfRule type="expression" dxfId="310" priority="319">
      <formula>MOD(ROW(),2)=0</formula>
    </cfRule>
  </conditionalFormatting>
  <conditionalFormatting sqref="F26">
    <cfRule type="expression" dxfId="309" priority="318">
      <formula>MOD(ROW(),2)=0</formula>
    </cfRule>
  </conditionalFormatting>
  <conditionalFormatting sqref="F26">
    <cfRule type="expression" dxfId="308" priority="317">
      <formula>MOD(ROW(),2)=0</formula>
    </cfRule>
  </conditionalFormatting>
  <conditionalFormatting sqref="F27">
    <cfRule type="expression" dxfId="307" priority="316">
      <formula>MOD(ROW(),2)=0</formula>
    </cfRule>
  </conditionalFormatting>
  <conditionalFormatting sqref="F27">
    <cfRule type="expression" dxfId="306" priority="315">
      <formula>MOD(ROW(),2)=0</formula>
    </cfRule>
  </conditionalFormatting>
  <conditionalFormatting sqref="F28">
    <cfRule type="expression" dxfId="305" priority="314">
      <formula>MOD(ROW(),2)=0</formula>
    </cfRule>
  </conditionalFormatting>
  <conditionalFormatting sqref="F28">
    <cfRule type="expression" dxfId="304" priority="313">
      <formula>MOD(ROW(),2)=0</formula>
    </cfRule>
  </conditionalFormatting>
  <conditionalFormatting sqref="I26">
    <cfRule type="expression" dxfId="303" priority="312">
      <formula>MOD(ROW(),2)=0</formula>
    </cfRule>
  </conditionalFormatting>
  <conditionalFormatting sqref="I26">
    <cfRule type="expression" dxfId="302" priority="311">
      <formula>MOD(ROW(),2)=0</formula>
    </cfRule>
  </conditionalFormatting>
  <conditionalFormatting sqref="I27">
    <cfRule type="expression" dxfId="301" priority="310">
      <formula>MOD(ROW(),2)=0</formula>
    </cfRule>
  </conditionalFormatting>
  <conditionalFormatting sqref="I27">
    <cfRule type="expression" dxfId="300" priority="309">
      <formula>MOD(ROW(),2)=0</formula>
    </cfRule>
  </conditionalFormatting>
  <conditionalFormatting sqref="I28">
    <cfRule type="expression" dxfId="299" priority="308">
      <formula>MOD(ROW(),2)=0</formula>
    </cfRule>
  </conditionalFormatting>
  <conditionalFormatting sqref="I28">
    <cfRule type="expression" dxfId="298" priority="307">
      <formula>MOD(ROW(),2)=0</formula>
    </cfRule>
  </conditionalFormatting>
  <conditionalFormatting sqref="I29">
    <cfRule type="expression" dxfId="297" priority="306">
      <formula>MOD(ROW(),2)=0</formula>
    </cfRule>
  </conditionalFormatting>
  <conditionalFormatting sqref="I29">
    <cfRule type="expression" dxfId="296" priority="305">
      <formula>MOD(ROW(),2)=0</formula>
    </cfRule>
  </conditionalFormatting>
  <conditionalFormatting sqref="I30">
    <cfRule type="expression" dxfId="295" priority="304">
      <formula>MOD(ROW(),2)=0</formula>
    </cfRule>
  </conditionalFormatting>
  <conditionalFormatting sqref="I30">
    <cfRule type="expression" dxfId="294" priority="303">
      <formula>MOD(ROW(),2)=0</formula>
    </cfRule>
  </conditionalFormatting>
  <conditionalFormatting sqref="I31">
    <cfRule type="expression" dxfId="293" priority="302">
      <formula>MOD(ROW(),2)=0</formula>
    </cfRule>
  </conditionalFormatting>
  <conditionalFormatting sqref="I31">
    <cfRule type="expression" dxfId="292" priority="301">
      <formula>MOD(ROW(),2)=0</formula>
    </cfRule>
  </conditionalFormatting>
  <conditionalFormatting sqref="D32">
    <cfRule type="expression" dxfId="291" priority="300">
      <formula>MOD(ROW(),2)=0</formula>
    </cfRule>
  </conditionalFormatting>
  <conditionalFormatting sqref="D32">
    <cfRule type="expression" dxfId="290" priority="299">
      <formula>MOD(ROW(),2)=0</formula>
    </cfRule>
  </conditionalFormatting>
  <conditionalFormatting sqref="D33">
    <cfRule type="expression" dxfId="289" priority="298">
      <formula>MOD(ROW(),2)=0</formula>
    </cfRule>
  </conditionalFormatting>
  <conditionalFormatting sqref="D33">
    <cfRule type="expression" dxfId="288" priority="297">
      <formula>MOD(ROW(),2)=0</formula>
    </cfRule>
  </conditionalFormatting>
  <conditionalFormatting sqref="D34">
    <cfRule type="expression" dxfId="287" priority="296">
      <formula>MOD(ROW(),2)=0</formula>
    </cfRule>
  </conditionalFormatting>
  <conditionalFormatting sqref="D34">
    <cfRule type="expression" dxfId="286" priority="295">
      <formula>MOD(ROW(),2)=0</formula>
    </cfRule>
  </conditionalFormatting>
  <conditionalFormatting sqref="E37:E40">
    <cfRule type="expression" dxfId="285" priority="294">
      <formula>MOD(ROW(),2)=0</formula>
    </cfRule>
  </conditionalFormatting>
  <conditionalFormatting sqref="E37:E40">
    <cfRule type="expression" dxfId="284" priority="293">
      <formula>MOD(ROW(),2)=0</formula>
    </cfRule>
  </conditionalFormatting>
  <conditionalFormatting sqref="E35">
    <cfRule type="expression" dxfId="283" priority="292">
      <formula>MOD(ROW(),2)=0</formula>
    </cfRule>
  </conditionalFormatting>
  <conditionalFormatting sqref="E35">
    <cfRule type="expression" dxfId="282" priority="291">
      <formula>MOD(ROW(),2)=0</formula>
    </cfRule>
  </conditionalFormatting>
  <conditionalFormatting sqref="E36">
    <cfRule type="expression" dxfId="281" priority="290">
      <formula>MOD(ROW(),2)=0</formula>
    </cfRule>
  </conditionalFormatting>
  <conditionalFormatting sqref="E36">
    <cfRule type="expression" dxfId="280" priority="289">
      <formula>MOD(ROW(),2)=0</formula>
    </cfRule>
  </conditionalFormatting>
  <conditionalFormatting sqref="E36">
    <cfRule type="expression" dxfId="279" priority="288">
      <formula>MOD(ROW(),2)=0</formula>
    </cfRule>
  </conditionalFormatting>
  <conditionalFormatting sqref="E36">
    <cfRule type="expression" dxfId="278" priority="287">
      <formula>MOD(ROW(),2)=0</formula>
    </cfRule>
  </conditionalFormatting>
  <conditionalFormatting sqref="E37">
    <cfRule type="expression" dxfId="277" priority="286">
      <formula>MOD(ROW(),2)=0</formula>
    </cfRule>
  </conditionalFormatting>
  <conditionalFormatting sqref="E37">
    <cfRule type="expression" dxfId="276" priority="285">
      <formula>MOD(ROW(),2)=0</formula>
    </cfRule>
  </conditionalFormatting>
  <conditionalFormatting sqref="E38">
    <cfRule type="expression" dxfId="275" priority="284">
      <formula>MOD(ROW(),2)=0</formula>
    </cfRule>
  </conditionalFormatting>
  <conditionalFormatting sqref="E38">
    <cfRule type="expression" dxfId="274" priority="283">
      <formula>MOD(ROW(),2)=0</formula>
    </cfRule>
  </conditionalFormatting>
  <conditionalFormatting sqref="E39">
    <cfRule type="expression" dxfId="273" priority="282">
      <formula>MOD(ROW(),2)=0</formula>
    </cfRule>
  </conditionalFormatting>
  <conditionalFormatting sqref="E39">
    <cfRule type="expression" dxfId="272" priority="281">
      <formula>MOD(ROW(),2)=0</formula>
    </cfRule>
  </conditionalFormatting>
  <conditionalFormatting sqref="E40">
    <cfRule type="expression" dxfId="271" priority="280">
      <formula>MOD(ROW(),2)=0</formula>
    </cfRule>
  </conditionalFormatting>
  <conditionalFormatting sqref="E40">
    <cfRule type="expression" dxfId="270" priority="279">
      <formula>MOD(ROW(),2)=0</formula>
    </cfRule>
  </conditionalFormatting>
  <conditionalFormatting sqref="E41">
    <cfRule type="expression" dxfId="269" priority="278">
      <formula>MOD(ROW(),2)=0</formula>
    </cfRule>
  </conditionalFormatting>
  <conditionalFormatting sqref="E41">
    <cfRule type="expression" dxfId="268" priority="277">
      <formula>MOD(ROW(),2)=0</formula>
    </cfRule>
  </conditionalFormatting>
  <conditionalFormatting sqref="E41">
    <cfRule type="expression" dxfId="267" priority="276">
      <formula>MOD(ROW(),2)=0</formula>
    </cfRule>
  </conditionalFormatting>
  <conditionalFormatting sqref="E41">
    <cfRule type="expression" dxfId="266" priority="275">
      <formula>MOD(ROW(),2)=0</formula>
    </cfRule>
  </conditionalFormatting>
  <conditionalFormatting sqref="E32">
    <cfRule type="expression" dxfId="265" priority="274">
      <formula>MOD(ROW(),2)=0</formula>
    </cfRule>
  </conditionalFormatting>
  <conditionalFormatting sqref="E32">
    <cfRule type="expression" dxfId="264" priority="273">
      <formula>MOD(ROW(),2)=0</formula>
    </cfRule>
  </conditionalFormatting>
  <conditionalFormatting sqref="E33">
    <cfRule type="expression" dxfId="263" priority="272">
      <formula>MOD(ROW(),2)=0</formula>
    </cfRule>
  </conditionalFormatting>
  <conditionalFormatting sqref="E33">
    <cfRule type="expression" dxfId="262" priority="271">
      <formula>MOD(ROW(),2)=0</formula>
    </cfRule>
  </conditionalFormatting>
  <conditionalFormatting sqref="E34">
    <cfRule type="expression" dxfId="261" priority="270">
      <formula>MOD(ROW(),2)=0</formula>
    </cfRule>
  </conditionalFormatting>
  <conditionalFormatting sqref="E34">
    <cfRule type="expression" dxfId="260" priority="269">
      <formula>MOD(ROW(),2)=0</formula>
    </cfRule>
  </conditionalFormatting>
  <conditionalFormatting sqref="I34">
    <cfRule type="expression" dxfId="259" priority="165">
      <formula>MOD(ROW(),2)=0</formula>
    </cfRule>
  </conditionalFormatting>
  <conditionalFormatting sqref="F37:F40">
    <cfRule type="expression" dxfId="258" priority="268">
      <formula>MOD(ROW(),2)=0</formula>
    </cfRule>
  </conditionalFormatting>
  <conditionalFormatting sqref="F37:F40">
    <cfRule type="expression" dxfId="257" priority="267">
      <formula>MOD(ROW(),2)=0</formula>
    </cfRule>
  </conditionalFormatting>
  <conditionalFormatting sqref="F35">
    <cfRule type="expression" dxfId="256" priority="266">
      <formula>MOD(ROW(),2)=0</formula>
    </cfRule>
  </conditionalFormatting>
  <conditionalFormatting sqref="F35">
    <cfRule type="expression" dxfId="255" priority="265">
      <formula>MOD(ROW(),2)=0</formula>
    </cfRule>
  </conditionalFormatting>
  <conditionalFormatting sqref="F36">
    <cfRule type="expression" dxfId="254" priority="264">
      <formula>MOD(ROW(),2)=0</formula>
    </cfRule>
  </conditionalFormatting>
  <conditionalFormatting sqref="F36">
    <cfRule type="expression" dxfId="253" priority="263">
      <formula>MOD(ROW(),2)=0</formula>
    </cfRule>
  </conditionalFormatting>
  <conditionalFormatting sqref="F36">
    <cfRule type="expression" dxfId="252" priority="262">
      <formula>MOD(ROW(),2)=0</formula>
    </cfRule>
  </conditionalFormatting>
  <conditionalFormatting sqref="F36">
    <cfRule type="expression" dxfId="251" priority="261">
      <formula>MOD(ROW(),2)=0</formula>
    </cfRule>
  </conditionalFormatting>
  <conditionalFormatting sqref="F37">
    <cfRule type="expression" dxfId="250" priority="260">
      <formula>MOD(ROW(),2)=0</formula>
    </cfRule>
  </conditionalFormatting>
  <conditionalFormatting sqref="F37">
    <cfRule type="expression" dxfId="249" priority="259">
      <formula>MOD(ROW(),2)=0</formula>
    </cfRule>
  </conditionalFormatting>
  <conditionalFormatting sqref="F38">
    <cfRule type="expression" dxfId="248" priority="258">
      <formula>MOD(ROW(),2)=0</formula>
    </cfRule>
  </conditionalFormatting>
  <conditionalFormatting sqref="F38">
    <cfRule type="expression" dxfId="247" priority="257">
      <formula>MOD(ROW(),2)=0</formula>
    </cfRule>
  </conditionalFormatting>
  <conditionalFormatting sqref="F39">
    <cfRule type="expression" dxfId="246" priority="256">
      <formula>MOD(ROW(),2)=0</formula>
    </cfRule>
  </conditionalFormatting>
  <conditionalFormatting sqref="F39">
    <cfRule type="expression" dxfId="245" priority="255">
      <formula>MOD(ROW(),2)=0</formula>
    </cfRule>
  </conditionalFormatting>
  <conditionalFormatting sqref="F40">
    <cfRule type="expression" dxfId="244" priority="254">
      <formula>MOD(ROW(),2)=0</formula>
    </cfRule>
  </conditionalFormatting>
  <conditionalFormatting sqref="F40">
    <cfRule type="expression" dxfId="243" priority="253">
      <formula>MOD(ROW(),2)=0</formula>
    </cfRule>
  </conditionalFormatting>
  <conditionalFormatting sqref="F41">
    <cfRule type="expression" dxfId="242" priority="252">
      <formula>MOD(ROW(),2)=0</formula>
    </cfRule>
  </conditionalFormatting>
  <conditionalFormatting sqref="F41">
    <cfRule type="expression" dxfId="241" priority="251">
      <formula>MOD(ROW(),2)=0</formula>
    </cfRule>
  </conditionalFormatting>
  <conditionalFormatting sqref="F41">
    <cfRule type="expression" dxfId="240" priority="250">
      <formula>MOD(ROW(),2)=0</formula>
    </cfRule>
  </conditionalFormatting>
  <conditionalFormatting sqref="F41">
    <cfRule type="expression" dxfId="239" priority="249">
      <formula>MOD(ROW(),2)=0</formula>
    </cfRule>
  </conditionalFormatting>
  <conditionalFormatting sqref="F32">
    <cfRule type="expression" dxfId="238" priority="248">
      <formula>MOD(ROW(),2)=0</formula>
    </cfRule>
  </conditionalFormatting>
  <conditionalFormatting sqref="F32">
    <cfRule type="expression" dxfId="237" priority="247">
      <formula>MOD(ROW(),2)=0</formula>
    </cfRule>
  </conditionalFormatting>
  <conditionalFormatting sqref="F33">
    <cfRule type="expression" dxfId="236" priority="246">
      <formula>MOD(ROW(),2)=0</formula>
    </cfRule>
  </conditionalFormatting>
  <conditionalFormatting sqref="F33">
    <cfRule type="expression" dxfId="235" priority="245">
      <formula>MOD(ROW(),2)=0</formula>
    </cfRule>
  </conditionalFormatting>
  <conditionalFormatting sqref="F34">
    <cfRule type="expression" dxfId="234" priority="244">
      <formula>MOD(ROW(),2)=0</formula>
    </cfRule>
  </conditionalFormatting>
  <conditionalFormatting sqref="F34">
    <cfRule type="expression" dxfId="233" priority="243">
      <formula>MOD(ROW(),2)=0</formula>
    </cfRule>
  </conditionalFormatting>
  <conditionalFormatting sqref="G37:G40">
    <cfRule type="expression" dxfId="232" priority="242">
      <formula>MOD(ROW(),2)=0</formula>
    </cfRule>
  </conditionalFormatting>
  <conditionalFormatting sqref="G37:G40">
    <cfRule type="expression" dxfId="231" priority="241">
      <formula>MOD(ROW(),2)=0</formula>
    </cfRule>
  </conditionalFormatting>
  <conditionalFormatting sqref="G35">
    <cfRule type="expression" dxfId="230" priority="240">
      <formula>MOD(ROW(),2)=0</formula>
    </cfRule>
  </conditionalFormatting>
  <conditionalFormatting sqref="G35">
    <cfRule type="expression" dxfId="229" priority="239">
      <formula>MOD(ROW(),2)=0</formula>
    </cfRule>
  </conditionalFormatting>
  <conditionalFormatting sqref="G36">
    <cfRule type="expression" dxfId="228" priority="238">
      <formula>MOD(ROW(),2)=0</formula>
    </cfRule>
  </conditionalFormatting>
  <conditionalFormatting sqref="G36">
    <cfRule type="expression" dxfId="227" priority="237">
      <formula>MOD(ROW(),2)=0</formula>
    </cfRule>
  </conditionalFormatting>
  <conditionalFormatting sqref="G36">
    <cfRule type="expression" dxfId="226" priority="236">
      <formula>MOD(ROW(),2)=0</formula>
    </cfRule>
  </conditionalFormatting>
  <conditionalFormatting sqref="G36">
    <cfRule type="expression" dxfId="225" priority="235">
      <formula>MOD(ROW(),2)=0</formula>
    </cfRule>
  </conditionalFormatting>
  <conditionalFormatting sqref="G37">
    <cfRule type="expression" dxfId="224" priority="234">
      <formula>MOD(ROW(),2)=0</formula>
    </cfRule>
  </conditionalFormatting>
  <conditionalFormatting sqref="G37">
    <cfRule type="expression" dxfId="223" priority="233">
      <formula>MOD(ROW(),2)=0</formula>
    </cfRule>
  </conditionalFormatting>
  <conditionalFormatting sqref="G38">
    <cfRule type="expression" dxfId="222" priority="232">
      <formula>MOD(ROW(),2)=0</formula>
    </cfRule>
  </conditionalFormatting>
  <conditionalFormatting sqref="G38">
    <cfRule type="expression" dxfId="221" priority="231">
      <formula>MOD(ROW(),2)=0</formula>
    </cfRule>
  </conditionalFormatting>
  <conditionalFormatting sqref="G39">
    <cfRule type="expression" dxfId="220" priority="230">
      <formula>MOD(ROW(),2)=0</formula>
    </cfRule>
  </conditionalFormatting>
  <conditionalFormatting sqref="G39">
    <cfRule type="expression" dxfId="219" priority="229">
      <formula>MOD(ROW(),2)=0</formula>
    </cfRule>
  </conditionalFormatting>
  <conditionalFormatting sqref="G40">
    <cfRule type="expression" dxfId="218" priority="228">
      <formula>MOD(ROW(),2)=0</formula>
    </cfRule>
  </conditionalFormatting>
  <conditionalFormatting sqref="G40">
    <cfRule type="expression" dxfId="217" priority="227">
      <formula>MOD(ROW(),2)=0</formula>
    </cfRule>
  </conditionalFormatting>
  <conditionalFormatting sqref="G41">
    <cfRule type="expression" dxfId="216" priority="226">
      <formula>MOD(ROW(),2)=0</formula>
    </cfRule>
  </conditionalFormatting>
  <conditionalFormatting sqref="G41">
    <cfRule type="expression" dxfId="215" priority="225">
      <formula>MOD(ROW(),2)=0</formula>
    </cfRule>
  </conditionalFormatting>
  <conditionalFormatting sqref="G41">
    <cfRule type="expression" dxfId="214" priority="224">
      <formula>MOD(ROW(),2)=0</formula>
    </cfRule>
  </conditionalFormatting>
  <conditionalFormatting sqref="G41">
    <cfRule type="expression" dxfId="213" priority="223">
      <formula>MOD(ROW(),2)=0</formula>
    </cfRule>
  </conditionalFormatting>
  <conditionalFormatting sqref="G32">
    <cfRule type="expression" dxfId="212" priority="222">
      <formula>MOD(ROW(),2)=0</formula>
    </cfRule>
  </conditionalFormatting>
  <conditionalFormatting sqref="G32">
    <cfRule type="expression" dxfId="211" priority="221">
      <formula>MOD(ROW(),2)=0</formula>
    </cfRule>
  </conditionalFormatting>
  <conditionalFormatting sqref="G33">
    <cfRule type="expression" dxfId="210" priority="220">
      <formula>MOD(ROW(),2)=0</formula>
    </cfRule>
  </conditionalFormatting>
  <conditionalFormatting sqref="G33">
    <cfRule type="expression" dxfId="209" priority="219">
      <formula>MOD(ROW(),2)=0</formula>
    </cfRule>
  </conditionalFormatting>
  <conditionalFormatting sqref="G34">
    <cfRule type="expression" dxfId="208" priority="218">
      <formula>MOD(ROW(),2)=0</formula>
    </cfRule>
  </conditionalFormatting>
  <conditionalFormatting sqref="G34">
    <cfRule type="expression" dxfId="207" priority="217">
      <formula>MOD(ROW(),2)=0</formula>
    </cfRule>
  </conditionalFormatting>
  <conditionalFormatting sqref="H37:H40">
    <cfRule type="expression" dxfId="206" priority="216">
      <formula>MOD(ROW(),2)=0</formula>
    </cfRule>
  </conditionalFormatting>
  <conditionalFormatting sqref="H37:H40">
    <cfRule type="expression" dxfId="205" priority="215">
      <formula>MOD(ROW(),2)=0</formula>
    </cfRule>
  </conditionalFormatting>
  <conditionalFormatting sqref="H35">
    <cfRule type="expression" dxfId="204" priority="214">
      <formula>MOD(ROW(),2)=0</formula>
    </cfRule>
  </conditionalFormatting>
  <conditionalFormatting sqref="H35">
    <cfRule type="expression" dxfId="203" priority="213">
      <formula>MOD(ROW(),2)=0</formula>
    </cfRule>
  </conditionalFormatting>
  <conditionalFormatting sqref="H36">
    <cfRule type="expression" dxfId="202" priority="212">
      <formula>MOD(ROW(),2)=0</formula>
    </cfRule>
  </conditionalFormatting>
  <conditionalFormatting sqref="H36">
    <cfRule type="expression" dxfId="201" priority="211">
      <formula>MOD(ROW(),2)=0</formula>
    </cfRule>
  </conditionalFormatting>
  <conditionalFormatting sqref="H36">
    <cfRule type="expression" dxfId="200" priority="210">
      <formula>MOD(ROW(),2)=0</formula>
    </cfRule>
  </conditionalFormatting>
  <conditionalFormatting sqref="H36">
    <cfRule type="expression" dxfId="199" priority="209">
      <formula>MOD(ROW(),2)=0</formula>
    </cfRule>
  </conditionalFormatting>
  <conditionalFormatting sqref="H37">
    <cfRule type="expression" dxfId="198" priority="208">
      <formula>MOD(ROW(),2)=0</formula>
    </cfRule>
  </conditionalFormatting>
  <conditionalFormatting sqref="H37">
    <cfRule type="expression" dxfId="197" priority="207">
      <formula>MOD(ROW(),2)=0</formula>
    </cfRule>
  </conditionalFormatting>
  <conditionalFormatting sqref="H38">
    <cfRule type="expression" dxfId="196" priority="206">
      <formula>MOD(ROW(),2)=0</formula>
    </cfRule>
  </conditionalFormatting>
  <conditionalFormatting sqref="H38">
    <cfRule type="expression" dxfId="195" priority="205">
      <formula>MOD(ROW(),2)=0</formula>
    </cfRule>
  </conditionalFormatting>
  <conditionalFormatting sqref="H39">
    <cfRule type="expression" dxfId="194" priority="204">
      <formula>MOD(ROW(),2)=0</formula>
    </cfRule>
  </conditionalFormatting>
  <conditionalFormatting sqref="H39">
    <cfRule type="expression" dxfId="193" priority="203">
      <formula>MOD(ROW(),2)=0</formula>
    </cfRule>
  </conditionalFormatting>
  <conditionalFormatting sqref="H40">
    <cfRule type="expression" dxfId="192" priority="202">
      <formula>MOD(ROW(),2)=0</formula>
    </cfRule>
  </conditionalFormatting>
  <conditionalFormatting sqref="H40">
    <cfRule type="expression" dxfId="191" priority="201">
      <formula>MOD(ROW(),2)=0</formula>
    </cfRule>
  </conditionalFormatting>
  <conditionalFormatting sqref="H41">
    <cfRule type="expression" dxfId="190" priority="200">
      <formula>MOD(ROW(),2)=0</formula>
    </cfRule>
  </conditionalFormatting>
  <conditionalFormatting sqref="H41">
    <cfRule type="expression" dxfId="189" priority="199">
      <formula>MOD(ROW(),2)=0</formula>
    </cfRule>
  </conditionalFormatting>
  <conditionalFormatting sqref="H41">
    <cfRule type="expression" dxfId="188" priority="198">
      <formula>MOD(ROW(),2)=0</formula>
    </cfRule>
  </conditionalFormatting>
  <conditionalFormatting sqref="H41">
    <cfRule type="expression" dxfId="187" priority="197">
      <formula>MOD(ROW(),2)=0</formula>
    </cfRule>
  </conditionalFormatting>
  <conditionalFormatting sqref="H32">
    <cfRule type="expression" dxfId="186" priority="196">
      <formula>MOD(ROW(),2)=0</formula>
    </cfRule>
  </conditionalFormatting>
  <conditionalFormatting sqref="H32">
    <cfRule type="expression" dxfId="185" priority="195">
      <formula>MOD(ROW(),2)=0</formula>
    </cfRule>
  </conditionalFormatting>
  <conditionalFormatting sqref="H33">
    <cfRule type="expression" dxfId="184" priority="194">
      <formula>MOD(ROW(),2)=0</formula>
    </cfRule>
  </conditionalFormatting>
  <conditionalFormatting sqref="H33">
    <cfRule type="expression" dxfId="183" priority="193">
      <formula>MOD(ROW(),2)=0</formula>
    </cfRule>
  </conditionalFormatting>
  <conditionalFormatting sqref="H34">
    <cfRule type="expression" dxfId="182" priority="192">
      <formula>MOD(ROW(),2)=0</formula>
    </cfRule>
  </conditionalFormatting>
  <conditionalFormatting sqref="H34">
    <cfRule type="expression" dxfId="181" priority="191">
      <formula>MOD(ROW(),2)=0</formula>
    </cfRule>
  </conditionalFormatting>
  <conditionalFormatting sqref="I37:I40">
    <cfRule type="expression" dxfId="180" priority="190">
      <formula>MOD(ROW(),2)=0</formula>
    </cfRule>
  </conditionalFormatting>
  <conditionalFormatting sqref="I37:I40">
    <cfRule type="expression" dxfId="179" priority="189">
      <formula>MOD(ROW(),2)=0</formula>
    </cfRule>
  </conditionalFormatting>
  <conditionalFormatting sqref="I35">
    <cfRule type="expression" dxfId="178" priority="188">
      <formula>MOD(ROW(),2)=0</formula>
    </cfRule>
  </conditionalFormatting>
  <conditionalFormatting sqref="I35">
    <cfRule type="expression" dxfId="177" priority="187">
      <formula>MOD(ROW(),2)=0</formula>
    </cfRule>
  </conditionalFormatting>
  <conditionalFormatting sqref="I36">
    <cfRule type="expression" dxfId="176" priority="186">
      <formula>MOD(ROW(),2)=0</formula>
    </cfRule>
  </conditionalFormatting>
  <conditionalFormatting sqref="I36">
    <cfRule type="expression" dxfId="175" priority="185">
      <formula>MOD(ROW(),2)=0</formula>
    </cfRule>
  </conditionalFormatting>
  <conditionalFormatting sqref="I36">
    <cfRule type="expression" dxfId="174" priority="184">
      <formula>MOD(ROW(),2)=0</formula>
    </cfRule>
  </conditionalFormatting>
  <conditionalFormatting sqref="I36">
    <cfRule type="expression" dxfId="173" priority="183">
      <formula>MOD(ROW(),2)=0</formula>
    </cfRule>
  </conditionalFormatting>
  <conditionalFormatting sqref="I37">
    <cfRule type="expression" dxfId="172" priority="182">
      <formula>MOD(ROW(),2)=0</formula>
    </cfRule>
  </conditionalFormatting>
  <conditionalFormatting sqref="I37">
    <cfRule type="expression" dxfId="171" priority="181">
      <formula>MOD(ROW(),2)=0</formula>
    </cfRule>
  </conditionalFormatting>
  <conditionalFormatting sqref="I38">
    <cfRule type="expression" dxfId="170" priority="180">
      <formula>MOD(ROW(),2)=0</formula>
    </cfRule>
  </conditionalFormatting>
  <conditionalFormatting sqref="I38">
    <cfRule type="expression" dxfId="169" priority="179">
      <formula>MOD(ROW(),2)=0</formula>
    </cfRule>
  </conditionalFormatting>
  <conditionalFormatting sqref="I39">
    <cfRule type="expression" dxfId="168" priority="178">
      <formula>MOD(ROW(),2)=0</formula>
    </cfRule>
  </conditionalFormatting>
  <conditionalFormatting sqref="I39">
    <cfRule type="expression" dxfId="167" priority="177">
      <formula>MOD(ROW(),2)=0</formula>
    </cfRule>
  </conditionalFormatting>
  <conditionalFormatting sqref="I40">
    <cfRule type="expression" dxfId="166" priority="176">
      <formula>MOD(ROW(),2)=0</formula>
    </cfRule>
  </conditionalFormatting>
  <conditionalFormatting sqref="I40">
    <cfRule type="expression" dxfId="165" priority="175">
      <formula>MOD(ROW(),2)=0</formula>
    </cfRule>
  </conditionalFormatting>
  <conditionalFormatting sqref="I41">
    <cfRule type="expression" dxfId="164" priority="174">
      <formula>MOD(ROW(),2)=0</formula>
    </cfRule>
  </conditionalFormatting>
  <conditionalFormatting sqref="I41">
    <cfRule type="expression" dxfId="163" priority="173">
      <formula>MOD(ROW(),2)=0</formula>
    </cfRule>
  </conditionalFormatting>
  <conditionalFormatting sqref="I41">
    <cfRule type="expression" dxfId="162" priority="172">
      <formula>MOD(ROW(),2)=0</formula>
    </cfRule>
  </conditionalFormatting>
  <conditionalFormatting sqref="I41">
    <cfRule type="expression" dxfId="161" priority="171">
      <formula>MOD(ROW(),2)=0</formula>
    </cfRule>
  </conditionalFormatting>
  <conditionalFormatting sqref="I32">
    <cfRule type="expression" dxfId="160" priority="170">
      <formula>MOD(ROW(),2)=0</formula>
    </cfRule>
  </conditionalFormatting>
  <conditionalFormatting sqref="I32">
    <cfRule type="expression" dxfId="159" priority="169">
      <formula>MOD(ROW(),2)=0</formula>
    </cfRule>
  </conditionalFormatting>
  <conditionalFormatting sqref="I33">
    <cfRule type="expression" dxfId="158" priority="168">
      <formula>MOD(ROW(),2)=0</formula>
    </cfRule>
  </conditionalFormatting>
  <conditionalFormatting sqref="I33">
    <cfRule type="expression" dxfId="157" priority="167">
      <formula>MOD(ROW(),2)=0</formula>
    </cfRule>
  </conditionalFormatting>
  <conditionalFormatting sqref="I34">
    <cfRule type="expression" dxfId="156" priority="166">
      <formula>MOD(ROW(),2)=0</formula>
    </cfRule>
  </conditionalFormatting>
  <conditionalFormatting sqref="D45">
    <cfRule type="expression" dxfId="155" priority="164">
      <formula>MOD(ROW(),2)=0</formula>
    </cfRule>
  </conditionalFormatting>
  <conditionalFormatting sqref="D45">
    <cfRule type="expression" dxfId="154" priority="163">
      <formula>MOD(ROW(),2)=0</formula>
    </cfRule>
  </conditionalFormatting>
  <conditionalFormatting sqref="E45">
    <cfRule type="expression" dxfId="153" priority="162">
      <formula>MOD(ROW(),2)=0</formula>
    </cfRule>
  </conditionalFormatting>
  <conditionalFormatting sqref="E45">
    <cfRule type="expression" dxfId="152" priority="161">
      <formula>MOD(ROW(),2)=0</formula>
    </cfRule>
  </conditionalFormatting>
  <conditionalFormatting sqref="F46:F47">
    <cfRule type="expression" dxfId="151" priority="160">
      <formula>MOD(ROW(),2)=0</formula>
    </cfRule>
  </conditionalFormatting>
  <conditionalFormatting sqref="F46:F47">
    <cfRule type="expression" dxfId="150" priority="159">
      <formula>MOD(ROW(),2)=0</formula>
    </cfRule>
  </conditionalFormatting>
  <conditionalFormatting sqref="F46">
    <cfRule type="expression" dxfId="149" priority="158">
      <formula>MOD(ROW(),2)=0</formula>
    </cfRule>
  </conditionalFormatting>
  <conditionalFormatting sqref="F46">
    <cfRule type="expression" dxfId="148" priority="157">
      <formula>MOD(ROW(),2)=0</formula>
    </cfRule>
  </conditionalFormatting>
  <conditionalFormatting sqref="F47">
    <cfRule type="expression" dxfId="147" priority="156">
      <formula>MOD(ROW(),2)=0</formula>
    </cfRule>
  </conditionalFormatting>
  <conditionalFormatting sqref="F47">
    <cfRule type="expression" dxfId="146" priority="155">
      <formula>MOD(ROW(),2)=0</formula>
    </cfRule>
  </conditionalFormatting>
  <conditionalFormatting sqref="F45">
    <cfRule type="expression" dxfId="145" priority="154">
      <formula>MOD(ROW(),2)=0</formula>
    </cfRule>
  </conditionalFormatting>
  <conditionalFormatting sqref="F45">
    <cfRule type="expression" dxfId="144" priority="153">
      <formula>MOD(ROW(),2)=0</formula>
    </cfRule>
  </conditionalFormatting>
  <conditionalFormatting sqref="G46:G47">
    <cfRule type="expression" dxfId="143" priority="152">
      <formula>MOD(ROW(),2)=0</formula>
    </cfRule>
  </conditionalFormatting>
  <conditionalFormatting sqref="G46:G47">
    <cfRule type="expression" dxfId="142" priority="151">
      <formula>MOD(ROW(),2)=0</formula>
    </cfRule>
  </conditionalFormatting>
  <conditionalFormatting sqref="G46">
    <cfRule type="expression" dxfId="141" priority="150">
      <formula>MOD(ROW(),2)=0</formula>
    </cfRule>
  </conditionalFormatting>
  <conditionalFormatting sqref="G46">
    <cfRule type="expression" dxfId="140" priority="149">
      <formula>MOD(ROW(),2)=0</formula>
    </cfRule>
  </conditionalFormatting>
  <conditionalFormatting sqref="G47">
    <cfRule type="expression" dxfId="139" priority="148">
      <formula>MOD(ROW(),2)=0</formula>
    </cfRule>
  </conditionalFormatting>
  <conditionalFormatting sqref="G47">
    <cfRule type="expression" dxfId="138" priority="147">
      <formula>MOD(ROW(),2)=0</formula>
    </cfRule>
  </conditionalFormatting>
  <conditionalFormatting sqref="G45">
    <cfRule type="expression" dxfId="137" priority="146">
      <formula>MOD(ROW(),2)=0</formula>
    </cfRule>
  </conditionalFormatting>
  <conditionalFormatting sqref="G45">
    <cfRule type="expression" dxfId="136" priority="145">
      <formula>MOD(ROW(),2)=0</formula>
    </cfRule>
  </conditionalFormatting>
  <conditionalFormatting sqref="H46:H47">
    <cfRule type="expression" dxfId="135" priority="144">
      <formula>MOD(ROW(),2)=0</formula>
    </cfRule>
  </conditionalFormatting>
  <conditionalFormatting sqref="H46:H47">
    <cfRule type="expression" dxfId="134" priority="143">
      <formula>MOD(ROW(),2)=0</formula>
    </cfRule>
  </conditionalFormatting>
  <conditionalFormatting sqref="H46">
    <cfRule type="expression" dxfId="133" priority="142">
      <formula>MOD(ROW(),2)=0</formula>
    </cfRule>
  </conditionalFormatting>
  <conditionalFormatting sqref="H46">
    <cfRule type="expression" dxfId="132" priority="141">
      <formula>MOD(ROW(),2)=0</formula>
    </cfRule>
  </conditionalFormatting>
  <conditionalFormatting sqref="H47">
    <cfRule type="expression" dxfId="131" priority="140">
      <formula>MOD(ROW(),2)=0</formula>
    </cfRule>
  </conditionalFormatting>
  <conditionalFormatting sqref="H47">
    <cfRule type="expression" dxfId="130" priority="139">
      <formula>MOD(ROW(),2)=0</formula>
    </cfRule>
  </conditionalFormatting>
  <conditionalFormatting sqref="H45">
    <cfRule type="expression" dxfId="129" priority="138">
      <formula>MOD(ROW(),2)=0</formula>
    </cfRule>
  </conditionalFormatting>
  <conditionalFormatting sqref="H45">
    <cfRule type="expression" dxfId="128" priority="137">
      <formula>MOD(ROW(),2)=0</formula>
    </cfRule>
  </conditionalFormatting>
  <conditionalFormatting sqref="I46:I47">
    <cfRule type="expression" dxfId="127" priority="136">
      <formula>MOD(ROW(),2)=0</formula>
    </cfRule>
  </conditionalFormatting>
  <conditionalFormatting sqref="I46:I47">
    <cfRule type="expression" dxfId="126" priority="135">
      <formula>MOD(ROW(),2)=0</formula>
    </cfRule>
  </conditionalFormatting>
  <conditionalFormatting sqref="I46">
    <cfRule type="expression" dxfId="125" priority="134">
      <formula>MOD(ROW(),2)=0</formula>
    </cfRule>
  </conditionalFormatting>
  <conditionalFormatting sqref="I46">
    <cfRule type="expression" dxfId="124" priority="133">
      <formula>MOD(ROW(),2)=0</formula>
    </cfRule>
  </conditionalFormatting>
  <conditionalFormatting sqref="I47">
    <cfRule type="expression" dxfId="123" priority="132">
      <formula>MOD(ROW(),2)=0</formula>
    </cfRule>
  </conditionalFormatting>
  <conditionalFormatting sqref="I47">
    <cfRule type="expression" dxfId="122" priority="131">
      <formula>MOD(ROW(),2)=0</formula>
    </cfRule>
  </conditionalFormatting>
  <conditionalFormatting sqref="I45">
    <cfRule type="expression" dxfId="121" priority="130">
      <formula>MOD(ROW(),2)=0</formula>
    </cfRule>
  </conditionalFormatting>
  <conditionalFormatting sqref="I45">
    <cfRule type="expression" dxfId="120" priority="129">
      <formula>MOD(ROW(),2)=0</formula>
    </cfRule>
  </conditionalFormatting>
  <conditionalFormatting sqref="E48:E54">
    <cfRule type="expression" dxfId="119" priority="128">
      <formula>MOD(ROW(),2)=0</formula>
    </cfRule>
  </conditionalFormatting>
  <conditionalFormatting sqref="E48:E54">
    <cfRule type="expression" dxfId="118" priority="127">
      <formula>MOD(ROW(),2)=0</formula>
    </cfRule>
  </conditionalFormatting>
  <conditionalFormatting sqref="E50">
    <cfRule type="expression" dxfId="117" priority="124">
      <formula>MOD(ROW(),2)=0</formula>
    </cfRule>
  </conditionalFormatting>
  <conditionalFormatting sqref="E50">
    <cfRule type="expression" dxfId="116" priority="123">
      <formula>MOD(ROW(),2)=0</formula>
    </cfRule>
  </conditionalFormatting>
  <conditionalFormatting sqref="E48:E49">
    <cfRule type="expression" dxfId="115" priority="126">
      <formula>MOD(ROW(),2)=0</formula>
    </cfRule>
  </conditionalFormatting>
  <conditionalFormatting sqref="E48:E49">
    <cfRule type="expression" dxfId="114" priority="125">
      <formula>MOD(ROW(),2)=0</formula>
    </cfRule>
  </conditionalFormatting>
  <conditionalFormatting sqref="E51">
    <cfRule type="expression" dxfId="113" priority="122">
      <formula>MOD(ROW(),2)=0</formula>
    </cfRule>
  </conditionalFormatting>
  <conditionalFormatting sqref="E51">
    <cfRule type="expression" dxfId="112" priority="121">
      <formula>MOD(ROW(),2)=0</formula>
    </cfRule>
  </conditionalFormatting>
  <conditionalFormatting sqref="E52">
    <cfRule type="expression" dxfId="111" priority="120">
      <formula>MOD(ROW(),2)=0</formula>
    </cfRule>
  </conditionalFormatting>
  <conditionalFormatting sqref="E52">
    <cfRule type="expression" dxfId="110" priority="119">
      <formula>MOD(ROW(),2)=0</formula>
    </cfRule>
  </conditionalFormatting>
  <conditionalFormatting sqref="E54">
    <cfRule type="expression" dxfId="109" priority="116">
      <formula>MOD(ROW(),2)=0</formula>
    </cfRule>
  </conditionalFormatting>
  <conditionalFormatting sqref="E54">
    <cfRule type="expression" dxfId="108" priority="115">
      <formula>MOD(ROW(),2)=0</formula>
    </cfRule>
  </conditionalFormatting>
  <conditionalFormatting sqref="E53">
    <cfRule type="expression" dxfId="107" priority="118">
      <formula>MOD(ROW(),2)=0</formula>
    </cfRule>
  </conditionalFormatting>
  <conditionalFormatting sqref="E53">
    <cfRule type="expression" dxfId="106" priority="117">
      <formula>MOD(ROW(),2)=0</formula>
    </cfRule>
  </conditionalFormatting>
  <conditionalFormatting sqref="I54">
    <cfRule type="expression" dxfId="105" priority="59">
      <formula>MOD(ROW(),2)=0</formula>
    </cfRule>
  </conditionalFormatting>
  <conditionalFormatting sqref="F48:F54">
    <cfRule type="expression" dxfId="104" priority="114">
      <formula>MOD(ROW(),2)=0</formula>
    </cfRule>
  </conditionalFormatting>
  <conditionalFormatting sqref="F48:F54">
    <cfRule type="expression" dxfId="103" priority="113">
      <formula>MOD(ROW(),2)=0</formula>
    </cfRule>
  </conditionalFormatting>
  <conditionalFormatting sqref="F50">
    <cfRule type="expression" dxfId="102" priority="110">
      <formula>MOD(ROW(),2)=0</formula>
    </cfRule>
  </conditionalFormatting>
  <conditionalFormatting sqref="F50">
    <cfRule type="expression" dxfId="101" priority="109">
      <formula>MOD(ROW(),2)=0</formula>
    </cfRule>
  </conditionalFormatting>
  <conditionalFormatting sqref="F48:F49">
    <cfRule type="expression" dxfId="100" priority="112">
      <formula>MOD(ROW(),2)=0</formula>
    </cfRule>
  </conditionalFormatting>
  <conditionalFormatting sqref="F48:F49">
    <cfRule type="expression" dxfId="99" priority="111">
      <formula>MOD(ROW(),2)=0</formula>
    </cfRule>
  </conditionalFormatting>
  <conditionalFormatting sqref="F51">
    <cfRule type="expression" dxfId="98" priority="108">
      <formula>MOD(ROW(),2)=0</formula>
    </cfRule>
  </conditionalFormatting>
  <conditionalFormatting sqref="F51">
    <cfRule type="expression" dxfId="97" priority="107">
      <formula>MOD(ROW(),2)=0</formula>
    </cfRule>
  </conditionalFormatting>
  <conditionalFormatting sqref="F52">
    <cfRule type="expression" dxfId="96" priority="106">
      <formula>MOD(ROW(),2)=0</formula>
    </cfRule>
  </conditionalFormatting>
  <conditionalFormatting sqref="F52">
    <cfRule type="expression" dxfId="95" priority="105">
      <formula>MOD(ROW(),2)=0</formula>
    </cfRule>
  </conditionalFormatting>
  <conditionalFormatting sqref="F54">
    <cfRule type="expression" dxfId="94" priority="102">
      <formula>MOD(ROW(),2)=0</formula>
    </cfRule>
  </conditionalFormatting>
  <conditionalFormatting sqref="F54">
    <cfRule type="expression" dxfId="93" priority="101">
      <formula>MOD(ROW(),2)=0</formula>
    </cfRule>
  </conditionalFormatting>
  <conditionalFormatting sqref="F53">
    <cfRule type="expression" dxfId="92" priority="104">
      <formula>MOD(ROW(),2)=0</formula>
    </cfRule>
  </conditionalFormatting>
  <conditionalFormatting sqref="F53">
    <cfRule type="expression" dxfId="91" priority="103">
      <formula>MOD(ROW(),2)=0</formula>
    </cfRule>
  </conditionalFormatting>
  <conditionalFormatting sqref="G48:G54">
    <cfRule type="expression" dxfId="90" priority="100">
      <formula>MOD(ROW(),2)=0</formula>
    </cfRule>
  </conditionalFormatting>
  <conditionalFormatting sqref="G48:G54">
    <cfRule type="expression" dxfId="89" priority="99">
      <formula>MOD(ROW(),2)=0</formula>
    </cfRule>
  </conditionalFormatting>
  <conditionalFormatting sqref="G50">
    <cfRule type="expression" dxfId="88" priority="96">
      <formula>MOD(ROW(),2)=0</formula>
    </cfRule>
  </conditionalFormatting>
  <conditionalFormatting sqref="G50">
    <cfRule type="expression" dxfId="87" priority="95">
      <formula>MOD(ROW(),2)=0</formula>
    </cfRule>
  </conditionalFormatting>
  <conditionalFormatting sqref="G48:G49">
    <cfRule type="expression" dxfId="86" priority="98">
      <formula>MOD(ROW(),2)=0</formula>
    </cfRule>
  </conditionalFormatting>
  <conditionalFormatting sqref="G48:G49">
    <cfRule type="expression" dxfId="85" priority="97">
      <formula>MOD(ROW(),2)=0</formula>
    </cfRule>
  </conditionalFormatting>
  <conditionalFormatting sqref="G51">
    <cfRule type="expression" dxfId="84" priority="94">
      <formula>MOD(ROW(),2)=0</formula>
    </cfRule>
  </conditionalFormatting>
  <conditionalFormatting sqref="G51">
    <cfRule type="expression" dxfId="83" priority="93">
      <formula>MOD(ROW(),2)=0</formula>
    </cfRule>
  </conditionalFormatting>
  <conditionalFormatting sqref="G52">
    <cfRule type="expression" dxfId="82" priority="92">
      <formula>MOD(ROW(),2)=0</formula>
    </cfRule>
  </conditionalFormatting>
  <conditionalFormatting sqref="G52">
    <cfRule type="expression" dxfId="81" priority="91">
      <formula>MOD(ROW(),2)=0</formula>
    </cfRule>
  </conditionalFormatting>
  <conditionalFormatting sqref="G54">
    <cfRule type="expression" dxfId="80" priority="88">
      <formula>MOD(ROW(),2)=0</formula>
    </cfRule>
  </conditionalFormatting>
  <conditionalFormatting sqref="G54">
    <cfRule type="expression" dxfId="79" priority="87">
      <formula>MOD(ROW(),2)=0</formula>
    </cfRule>
  </conditionalFormatting>
  <conditionalFormatting sqref="G53">
    <cfRule type="expression" dxfId="78" priority="90">
      <formula>MOD(ROW(),2)=0</formula>
    </cfRule>
  </conditionalFormatting>
  <conditionalFormatting sqref="G53">
    <cfRule type="expression" dxfId="77" priority="89">
      <formula>MOD(ROW(),2)=0</formula>
    </cfRule>
  </conditionalFormatting>
  <conditionalFormatting sqref="H48:H54">
    <cfRule type="expression" dxfId="76" priority="86">
      <formula>MOD(ROW(),2)=0</formula>
    </cfRule>
  </conditionalFormatting>
  <conditionalFormatting sqref="H48:H54">
    <cfRule type="expression" dxfId="75" priority="85">
      <formula>MOD(ROW(),2)=0</formula>
    </cfRule>
  </conditionalFormatting>
  <conditionalFormatting sqref="H50">
    <cfRule type="expression" dxfId="74" priority="82">
      <formula>MOD(ROW(),2)=0</formula>
    </cfRule>
  </conditionalFormatting>
  <conditionalFormatting sqref="H50">
    <cfRule type="expression" dxfId="73" priority="81">
      <formula>MOD(ROW(),2)=0</formula>
    </cfRule>
  </conditionalFormatting>
  <conditionalFormatting sqref="H48:H49">
    <cfRule type="expression" dxfId="72" priority="84">
      <formula>MOD(ROW(),2)=0</formula>
    </cfRule>
  </conditionalFormatting>
  <conditionalFormatting sqref="H48:H49">
    <cfRule type="expression" dxfId="71" priority="83">
      <formula>MOD(ROW(),2)=0</formula>
    </cfRule>
  </conditionalFormatting>
  <conditionalFormatting sqref="H51">
    <cfRule type="expression" dxfId="70" priority="80">
      <formula>MOD(ROW(),2)=0</formula>
    </cfRule>
  </conditionalFormatting>
  <conditionalFormatting sqref="H51">
    <cfRule type="expression" dxfId="69" priority="79">
      <formula>MOD(ROW(),2)=0</formula>
    </cfRule>
  </conditionalFormatting>
  <conditionalFormatting sqref="H52">
    <cfRule type="expression" dxfId="68" priority="78">
      <formula>MOD(ROW(),2)=0</formula>
    </cfRule>
  </conditionalFormatting>
  <conditionalFormatting sqref="H52">
    <cfRule type="expression" dxfId="67" priority="77">
      <formula>MOD(ROW(),2)=0</formula>
    </cfRule>
  </conditionalFormatting>
  <conditionalFormatting sqref="H54">
    <cfRule type="expression" dxfId="66" priority="74">
      <formula>MOD(ROW(),2)=0</formula>
    </cfRule>
  </conditionalFormatting>
  <conditionalFormatting sqref="H54">
    <cfRule type="expression" dxfId="65" priority="73">
      <formula>MOD(ROW(),2)=0</formula>
    </cfRule>
  </conditionalFormatting>
  <conditionalFormatting sqref="H53">
    <cfRule type="expression" dxfId="64" priority="76">
      <formula>MOD(ROW(),2)=0</formula>
    </cfRule>
  </conditionalFormatting>
  <conditionalFormatting sqref="H53">
    <cfRule type="expression" dxfId="63" priority="75">
      <formula>MOD(ROW(),2)=0</formula>
    </cfRule>
  </conditionalFormatting>
  <conditionalFormatting sqref="I48:I54">
    <cfRule type="expression" dxfId="62" priority="72">
      <formula>MOD(ROW(),2)=0</formula>
    </cfRule>
  </conditionalFormatting>
  <conditionalFormatting sqref="I48:I54">
    <cfRule type="expression" dxfId="61" priority="71">
      <formula>MOD(ROW(),2)=0</formula>
    </cfRule>
  </conditionalFormatting>
  <conditionalFormatting sqref="I50">
    <cfRule type="expression" dxfId="60" priority="68">
      <formula>MOD(ROW(),2)=0</formula>
    </cfRule>
  </conditionalFormatting>
  <conditionalFormatting sqref="I50">
    <cfRule type="expression" dxfId="59" priority="67">
      <formula>MOD(ROW(),2)=0</formula>
    </cfRule>
  </conditionalFormatting>
  <conditionalFormatting sqref="I48:I49">
    <cfRule type="expression" dxfId="58" priority="70">
      <formula>MOD(ROW(),2)=0</formula>
    </cfRule>
  </conditionalFormatting>
  <conditionalFormatting sqref="I48:I49">
    <cfRule type="expression" dxfId="57" priority="69">
      <formula>MOD(ROW(),2)=0</formula>
    </cfRule>
  </conditionalFormatting>
  <conditionalFormatting sqref="I51">
    <cfRule type="expression" dxfId="56" priority="66">
      <formula>MOD(ROW(),2)=0</formula>
    </cfRule>
  </conditionalFormatting>
  <conditionalFormatting sqref="I51">
    <cfRule type="expression" dxfId="55" priority="65">
      <formula>MOD(ROW(),2)=0</formula>
    </cfRule>
  </conditionalFormatting>
  <conditionalFormatting sqref="I52">
    <cfRule type="expression" dxfId="54" priority="64">
      <formula>MOD(ROW(),2)=0</formula>
    </cfRule>
  </conditionalFormatting>
  <conditionalFormatting sqref="I52">
    <cfRule type="expression" dxfId="53" priority="63">
      <formula>MOD(ROW(),2)=0</formula>
    </cfRule>
  </conditionalFormatting>
  <conditionalFormatting sqref="I54">
    <cfRule type="expression" dxfId="52" priority="60">
      <formula>MOD(ROW(),2)=0</formula>
    </cfRule>
  </conditionalFormatting>
  <conditionalFormatting sqref="I53">
    <cfRule type="expression" dxfId="51" priority="62">
      <formula>MOD(ROW(),2)=0</formula>
    </cfRule>
  </conditionalFormatting>
  <conditionalFormatting sqref="I53">
    <cfRule type="expression" dxfId="50" priority="61">
      <formula>MOD(ROW(),2)=0</formula>
    </cfRule>
  </conditionalFormatting>
  <conditionalFormatting sqref="F58">
    <cfRule type="expression" dxfId="49" priority="58">
      <formula>MOD(ROW(),2)=0</formula>
    </cfRule>
  </conditionalFormatting>
  <conditionalFormatting sqref="F58">
    <cfRule type="expression" dxfId="48" priority="57">
      <formula>MOD(ROW(),2)=0</formula>
    </cfRule>
  </conditionalFormatting>
  <conditionalFormatting sqref="G55 G58:G59">
    <cfRule type="expression" dxfId="47" priority="56">
      <formula>MOD(ROW(),2)=0</formula>
    </cfRule>
  </conditionalFormatting>
  <conditionalFormatting sqref="G55 G58:G59">
    <cfRule type="expression" dxfId="46" priority="55">
      <formula>MOD(ROW(),2)=0</formula>
    </cfRule>
  </conditionalFormatting>
  <conditionalFormatting sqref="G55">
    <cfRule type="expression" dxfId="45" priority="54">
      <formula>MOD(ROW(),2)=0</formula>
    </cfRule>
  </conditionalFormatting>
  <conditionalFormatting sqref="G55">
    <cfRule type="expression" dxfId="44" priority="53">
      <formula>MOD(ROW(),2)=0</formula>
    </cfRule>
  </conditionalFormatting>
  <conditionalFormatting sqref="G58">
    <cfRule type="expression" dxfId="43" priority="52">
      <formula>MOD(ROW(),2)=0</formula>
    </cfRule>
  </conditionalFormatting>
  <conditionalFormatting sqref="G58">
    <cfRule type="expression" dxfId="42" priority="51">
      <formula>MOD(ROW(),2)=0</formula>
    </cfRule>
  </conditionalFormatting>
  <conditionalFormatting sqref="G59">
    <cfRule type="expression" dxfId="41" priority="50">
      <formula>MOD(ROW(),2)=0</formula>
    </cfRule>
  </conditionalFormatting>
  <conditionalFormatting sqref="G59">
    <cfRule type="expression" dxfId="40" priority="49">
      <formula>MOD(ROW(),2)=0</formula>
    </cfRule>
  </conditionalFormatting>
  <conditionalFormatting sqref="I58">
    <cfRule type="expression" dxfId="39" priority="7">
      <formula>MOD(ROW(),2)=0</formula>
    </cfRule>
  </conditionalFormatting>
  <conditionalFormatting sqref="I59">
    <cfRule type="expression" dxfId="38" priority="10">
      <formula>MOD(ROW(),2)=0</formula>
    </cfRule>
  </conditionalFormatting>
  <conditionalFormatting sqref="I59">
    <cfRule type="expression" dxfId="37" priority="9">
      <formula>MOD(ROW(),2)=0</formula>
    </cfRule>
  </conditionalFormatting>
  <conditionalFormatting sqref="I58">
    <cfRule type="expression" dxfId="36" priority="8">
      <formula>MOD(ROW(),2)=0</formula>
    </cfRule>
  </conditionalFormatting>
  <conditionalFormatting sqref="G58">
    <cfRule type="expression" dxfId="35" priority="40">
      <formula>MOD(ROW(),2)=0</formula>
    </cfRule>
  </conditionalFormatting>
  <conditionalFormatting sqref="G58">
    <cfRule type="expression" dxfId="34" priority="39">
      <formula>MOD(ROW(),2)=0</formula>
    </cfRule>
  </conditionalFormatting>
  <conditionalFormatting sqref="I57">
    <cfRule type="expression" dxfId="33" priority="1">
      <formula>MOD(ROW(),2)=0</formula>
    </cfRule>
  </conditionalFormatting>
  <conditionalFormatting sqref="G56">
    <cfRule type="expression" dxfId="32" priority="38">
      <formula>MOD(ROW(),2)=0</formula>
    </cfRule>
  </conditionalFormatting>
  <conditionalFormatting sqref="G56">
    <cfRule type="expression" dxfId="31" priority="37">
      <formula>MOD(ROW(),2)=0</formula>
    </cfRule>
  </conditionalFormatting>
  <conditionalFormatting sqref="G56">
    <cfRule type="expression" dxfId="30" priority="36">
      <formula>MOD(ROW(),2)=0</formula>
    </cfRule>
  </conditionalFormatting>
  <conditionalFormatting sqref="G56">
    <cfRule type="expression" dxfId="29" priority="35">
      <formula>MOD(ROW(),2)=0</formula>
    </cfRule>
  </conditionalFormatting>
  <conditionalFormatting sqref="G57">
    <cfRule type="expression" dxfId="28" priority="34">
      <formula>MOD(ROW(),2)=0</formula>
    </cfRule>
  </conditionalFormatting>
  <conditionalFormatting sqref="G57">
    <cfRule type="expression" dxfId="27" priority="33">
      <formula>MOD(ROW(),2)=0</formula>
    </cfRule>
  </conditionalFormatting>
  <conditionalFormatting sqref="H55 H58:H59">
    <cfRule type="expression" dxfId="26" priority="32">
      <formula>MOD(ROW(),2)=0</formula>
    </cfRule>
  </conditionalFormatting>
  <conditionalFormatting sqref="H55 H58:H59">
    <cfRule type="expression" dxfId="25" priority="31">
      <formula>MOD(ROW(),2)=0</formula>
    </cfRule>
  </conditionalFormatting>
  <conditionalFormatting sqref="H55">
    <cfRule type="expression" dxfId="24" priority="30">
      <formula>MOD(ROW(),2)=0</formula>
    </cfRule>
  </conditionalFormatting>
  <conditionalFormatting sqref="H55">
    <cfRule type="expression" dxfId="23" priority="29">
      <formula>MOD(ROW(),2)=0</formula>
    </cfRule>
  </conditionalFormatting>
  <conditionalFormatting sqref="H58">
    <cfRule type="expression" dxfId="22" priority="28">
      <formula>MOD(ROW(),2)=0</formula>
    </cfRule>
  </conditionalFormatting>
  <conditionalFormatting sqref="H58">
    <cfRule type="expression" dxfId="21" priority="27">
      <formula>MOD(ROW(),2)=0</formula>
    </cfRule>
  </conditionalFormatting>
  <conditionalFormatting sqref="H59">
    <cfRule type="expression" dxfId="20" priority="26">
      <formula>MOD(ROW(),2)=0</formula>
    </cfRule>
  </conditionalFormatting>
  <conditionalFormatting sqref="H59">
    <cfRule type="expression" dxfId="19" priority="25">
      <formula>MOD(ROW(),2)=0</formula>
    </cfRule>
  </conditionalFormatting>
  <conditionalFormatting sqref="H58">
    <cfRule type="expression" dxfId="18" priority="24">
      <formula>MOD(ROW(),2)=0</formula>
    </cfRule>
  </conditionalFormatting>
  <conditionalFormatting sqref="H58">
    <cfRule type="expression" dxfId="17" priority="23">
      <formula>MOD(ROW(),2)=0</formula>
    </cfRule>
  </conditionalFormatting>
  <conditionalFormatting sqref="H56">
    <cfRule type="expression" dxfId="16" priority="22">
      <formula>MOD(ROW(),2)=0</formula>
    </cfRule>
  </conditionalFormatting>
  <conditionalFormatting sqref="H56">
    <cfRule type="expression" dxfId="15" priority="21">
      <formula>MOD(ROW(),2)=0</formula>
    </cfRule>
  </conditionalFormatting>
  <conditionalFormatting sqref="H56">
    <cfRule type="expression" dxfId="14" priority="20">
      <formula>MOD(ROW(),2)=0</formula>
    </cfRule>
  </conditionalFormatting>
  <conditionalFormatting sqref="H56">
    <cfRule type="expression" dxfId="13" priority="19">
      <formula>MOD(ROW(),2)=0</formula>
    </cfRule>
  </conditionalFormatting>
  <conditionalFormatting sqref="H57">
    <cfRule type="expression" dxfId="12" priority="18">
      <formula>MOD(ROW(),2)=0</formula>
    </cfRule>
  </conditionalFormatting>
  <conditionalFormatting sqref="H57">
    <cfRule type="expression" dxfId="11" priority="17">
      <formula>MOD(ROW(),2)=0</formula>
    </cfRule>
  </conditionalFormatting>
  <conditionalFormatting sqref="I55 I58:I59">
    <cfRule type="expression" dxfId="10" priority="16">
      <formula>MOD(ROW(),2)=0</formula>
    </cfRule>
  </conditionalFormatting>
  <conditionalFormatting sqref="I55 I58:I59">
    <cfRule type="expression" dxfId="9" priority="15">
      <formula>MOD(ROW(),2)=0</formula>
    </cfRule>
  </conditionalFormatting>
  <conditionalFormatting sqref="I55">
    <cfRule type="expression" dxfId="8" priority="14">
      <formula>MOD(ROW(),2)=0</formula>
    </cfRule>
  </conditionalFormatting>
  <conditionalFormatting sqref="I55">
    <cfRule type="expression" dxfId="7" priority="13">
      <formula>MOD(ROW(),2)=0</formula>
    </cfRule>
  </conditionalFormatting>
  <conditionalFormatting sqref="I58">
    <cfRule type="expression" dxfId="6" priority="12">
      <formula>MOD(ROW(),2)=0</formula>
    </cfRule>
  </conditionalFormatting>
  <conditionalFormatting sqref="I58">
    <cfRule type="expression" dxfId="5" priority="11">
      <formula>MOD(ROW(),2)=0</formula>
    </cfRule>
  </conditionalFormatting>
  <conditionalFormatting sqref="I56">
    <cfRule type="expression" dxfId="4" priority="6">
      <formula>MOD(ROW(),2)=0</formula>
    </cfRule>
  </conditionalFormatting>
  <conditionalFormatting sqref="I56">
    <cfRule type="expression" dxfId="3" priority="5">
      <formula>MOD(ROW(),2)=0</formula>
    </cfRule>
  </conditionalFormatting>
  <conditionalFormatting sqref="I56">
    <cfRule type="expression" dxfId="2" priority="4">
      <formula>MOD(ROW(),2)=0</formula>
    </cfRule>
  </conditionalFormatting>
  <conditionalFormatting sqref="I56">
    <cfRule type="expression" dxfId="1" priority="3">
      <formula>MOD(ROW(),2)=0</formula>
    </cfRule>
  </conditionalFormatting>
  <conditionalFormatting sqref="I57">
    <cfRule type="expression" dxfId="0" priority="2">
      <formula>MOD(ROW(),2)=0</formula>
    </cfRule>
  </conditionalFormatting>
  <dataValidations count="6">
    <dataValidation allowBlank="1" showInputMessage="1" showErrorMessage="1" prompt="Enter Metric Name in this column under this heading" sqref="B6"/>
    <dataValidation allowBlank="1" showInputMessage="1" showErrorMessage="1" prompt="Year is automatically updated in this cell. Enter figures for this year in this column under this heading" sqref="C6:I6"/>
    <dataValidation allowBlank="1" showInputMessage="1" showErrorMessage="1" prompt="Tip is in this cell" sqref="B3:I4"/>
    <dataValidation allowBlank="1" showInputMessage="1" showErrorMessage="1" prompt="Navigation link to Financial Report worksheet. Enter details in table below" sqref="B5:C5"/>
    <dataValidation allowBlank="1" showInputMessage="1" showErrorMessage="1" prompt="Title of this worksheet is in this cell and tip in cell below" sqref="B1:I2"/>
    <dataValidation allowBlank="1" showInputMessage="1" showErrorMessage="1" prompt="Enter financial data of up to 25 key metrics and seven years in table starting in cell B5 in this worksheet. Select cell B4 to navigate to Financial Report worksheet" sqref="A1"/>
  </dataValidations>
  <hyperlinks>
    <hyperlink ref="B5" location="'Financial Report'!A1" tooltip="Select to navigate to Financial Report worksheet " display="Tap to view Financial Report"/>
  </hyperlinks>
  <printOptions horizontalCentered="1"/>
  <pageMargins left="0.25" right="0.25" top="0.75" bottom="0.75" header="0.3" footer="0.3"/>
  <pageSetup scale="72"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workbookViewId="0">
      <pane xSplit="1" ySplit="14" topLeftCell="B15" activePane="bottomRight" state="frozen"/>
      <selection sqref="A1:F1"/>
      <selection pane="topRight" sqref="A1:F1"/>
      <selection pane="bottomLeft" sqref="A1:F1"/>
      <selection pane="bottomRight" sqref="A1:F1"/>
    </sheetView>
  </sheetViews>
  <sheetFormatPr defaultRowHeight="15" x14ac:dyDescent="0.25"/>
  <cols>
    <col min="1" max="1" width="9.28515625" style="175" bestFit="1" customWidth="1"/>
    <col min="2" max="2" width="60.28515625" style="175" customWidth="1"/>
    <col min="3" max="7" width="10.7109375" style="175" bestFit="1" customWidth="1"/>
    <col min="8" max="9" width="9.28515625" style="175" bestFit="1" customWidth="1"/>
    <col min="10" max="10" width="9.140625" style="175"/>
    <col min="11" max="11" width="9.140625" style="314"/>
    <col min="12" max="16384" width="9.140625" style="175"/>
  </cols>
  <sheetData>
    <row r="1" spans="1:11" s="202" customFormat="1" ht="34.5" customHeight="1" x14ac:dyDescent="0.25">
      <c r="A1" s="208" t="s">
        <v>243</v>
      </c>
      <c r="K1" s="314"/>
    </row>
    <row r="2" spans="1:11" s="202" customFormat="1" x14ac:dyDescent="0.2">
      <c r="D2" s="190" t="s">
        <v>244</v>
      </c>
      <c r="K2" s="314"/>
    </row>
    <row r="3" spans="1:11" ht="19.5" customHeight="1" x14ac:dyDescent="0.2">
      <c r="B3" s="175" t="s">
        <v>245</v>
      </c>
      <c r="C3" s="209">
        <f>SelectedYear</f>
        <v>2020</v>
      </c>
      <c r="D3" s="175">
        <f ca="1">MATCH(C3,lstYears,0)+1</f>
        <v>8</v>
      </c>
    </row>
    <row r="4" spans="1:11" ht="19.5" customHeight="1" x14ac:dyDescent="0.2">
      <c r="B4" s="175" t="s">
        <v>246</v>
      </c>
      <c r="C4" s="209">
        <f>C3-1</f>
        <v>2019</v>
      </c>
      <c r="D4" s="175">
        <f ca="1">MATCH(C4,lstYears,0)+1</f>
        <v>7</v>
      </c>
    </row>
    <row r="5" spans="1:11" ht="19.5" customHeight="1" x14ac:dyDescent="0.25"/>
    <row r="6" spans="1:11" ht="19.5" customHeight="1" thickBot="1" x14ac:dyDescent="0.25">
      <c r="B6" s="175" t="s">
        <v>244</v>
      </c>
      <c r="C6" s="210">
        <f ca="1">MATCH(C7,lstYears,0)+1</f>
        <v>4</v>
      </c>
      <c r="D6" s="210">
        <f ca="1">MATCH(D7,lstYears,0)+1</f>
        <v>5</v>
      </c>
      <c r="E6" s="210">
        <f ca="1">MATCH(E7,lstYears,0)+1</f>
        <v>6</v>
      </c>
      <c r="F6" s="210">
        <f ca="1">MATCH(F7,lstYears,0)+1</f>
        <v>7</v>
      </c>
      <c r="G6" s="210">
        <f ca="1">MATCH(G7,lstYears,0)+1</f>
        <v>8</v>
      </c>
      <c r="I6" s="175">
        <f ca="1">COUNT(C6:G6)</f>
        <v>5</v>
      </c>
    </row>
    <row r="7" spans="1:11" ht="18.75" thickBot="1" x14ac:dyDescent="0.3">
      <c r="B7" s="211" t="s">
        <v>247</v>
      </c>
      <c r="C7" s="212">
        <f>D7-1</f>
        <v>2016</v>
      </c>
      <c r="D7" s="212">
        <f>E7-1</f>
        <v>2017</v>
      </c>
      <c r="E7" s="212">
        <f>F7-1</f>
        <v>2018</v>
      </c>
      <c r="F7" s="212">
        <f>G7-1</f>
        <v>2019</v>
      </c>
      <c r="G7" s="212">
        <f>C3</f>
        <v>2020</v>
      </c>
      <c r="H7" s="211"/>
    </row>
    <row r="8" spans="1:11" ht="19.5" customHeight="1" x14ac:dyDescent="0.2">
      <c r="A8" s="175">
        <f>MATCH(B8,'Financial Data Input'!$B$7:$B$66,0)</f>
        <v>8</v>
      </c>
      <c r="B8" s="175" t="str">
        <f>IF('Key Metric Settings'!C5="","",'Key Metric Settings'!C5)</f>
        <v>Total Transfers $</v>
      </c>
      <c r="C8" s="175">
        <f ca="1">IFERROR(INDEX('Financial Data Input'!$B$7:$I$66,$A8,C$6),NA())</f>
        <v>1081.2899</v>
      </c>
      <c r="D8" s="175">
        <f ca="1">IFERROR(INDEX('Financial Data Input'!$B$7:$I$66,$A8,D$6),NA())</f>
        <v>669.56615000000011</v>
      </c>
      <c r="E8" s="175">
        <f ca="1">IFERROR(INDEX('Financial Data Input'!$B$7:$I$66,$A8,E$6),NA())</f>
        <v>794.53362000000004</v>
      </c>
      <c r="F8" s="175">
        <f ca="1">IFERROR(INDEX('Financial Data Input'!$B$7:$I$66,$A8,F$6),NA())</f>
        <v>675.09770000000003</v>
      </c>
      <c r="G8" s="175">
        <f ca="1">IFERROR(INDEX('Financial Data Input'!$B$7:$I$66,$A8,G$6),NA())</f>
        <v>737.61124000000052</v>
      </c>
      <c r="H8" s="213">
        <f ca="1">IFERROR(G8/F8-1,"")</f>
        <v>9.2599248967965009E-2</v>
      </c>
    </row>
    <row r="9" spans="1:11" ht="19.5" customHeight="1" x14ac:dyDescent="0.2">
      <c r="A9" s="175">
        <f>MATCH(B9,'Financial Data Input'!$B$7:$B$66,0)</f>
        <v>9</v>
      </c>
      <c r="B9" s="175" t="str">
        <f>IF('Key Metric Settings'!C6="","",'Key Metric Settings'!C6)</f>
        <v>Retro Salary Transfers &gt; 90 Days $</v>
      </c>
      <c r="C9" s="175">
        <f ca="1">IFERROR(INDEX('Financial Data Input'!$B$7:$I$66,$A9,C$6),NA())</f>
        <v>217.19247999999996</v>
      </c>
      <c r="D9" s="175">
        <f ca="1">IFERROR(INDEX('Financial Data Input'!$B$7:$I$66,$A9,D$6),NA())</f>
        <v>82.073789999999988</v>
      </c>
      <c r="E9" s="175">
        <f ca="1">IFERROR(INDEX('Financial Data Input'!$B$7:$I$66,$A9,E$6),NA())</f>
        <v>207.64295999999999</v>
      </c>
      <c r="F9" s="175">
        <f ca="1">IFERROR(INDEX('Financial Data Input'!$B$7:$I$66,$A9,F$6),NA())</f>
        <v>167.25851999999998</v>
      </c>
      <c r="G9" s="175">
        <f ca="1">IFERROR(INDEX('Financial Data Input'!$B$7:$I$66,$A9,G$6),NA())</f>
        <v>96.481699999999961</v>
      </c>
      <c r="H9" s="213">
        <f t="shared" ref="H9:H12" ca="1" si="0">IFERROR(G9/F9-1,"")</f>
        <v>-0.42315823433090305</v>
      </c>
    </row>
    <row r="10" spans="1:11" ht="19.5" customHeight="1" x14ac:dyDescent="0.2">
      <c r="A10" s="175">
        <f>MATCH(B10,'Financial Data Input'!$B$7:$B$66,0)</f>
        <v>22</v>
      </c>
      <c r="B10" s="175" t="str">
        <f>IF('Key Metric Settings'!C7="","",'Key Metric Settings'!C7)</f>
        <v>Deposits $</v>
      </c>
      <c r="C10" s="175">
        <f ca="1">IFERROR(INDEX('Financial Data Input'!$B$7:$I$66,$A10,C$6),NA())</f>
        <v>9527.0562899999986</v>
      </c>
      <c r="D10" s="175">
        <f ca="1">IFERROR(INDEX('Financial Data Input'!$B$7:$I$66,$A10,D$6),NA())</f>
        <v>10256.590900000001</v>
      </c>
      <c r="E10" s="175">
        <f ca="1">IFERROR(INDEX('Financial Data Input'!$B$7:$I$66,$A10,E$6),NA())</f>
        <v>9550.445029999999</v>
      </c>
      <c r="F10" s="175">
        <f ca="1">IFERROR(INDEX('Financial Data Input'!$B$7:$I$66,$A10,F$6),NA())</f>
        <v>10040.762879999998</v>
      </c>
      <c r="G10" s="175">
        <f ca="1">IFERROR(INDEX('Financial Data Input'!$B$7:$I$66,$A10,G$6),NA())</f>
        <v>6432.9769400000005</v>
      </c>
      <c r="H10" s="213">
        <f t="shared" ca="1" si="0"/>
        <v>-0.35931392695133524</v>
      </c>
    </row>
    <row r="11" spans="1:11" ht="19.5" customHeight="1" x14ac:dyDescent="0.2">
      <c r="A11" s="175">
        <f>MATCH(B11,'Financial Data Input'!$B$7:$B$66,0)</f>
        <v>39</v>
      </c>
      <c r="B11" s="175" t="str">
        <f>IF('Key Metric Settings'!C8="","",'Key Metric Settings'!C8)</f>
        <v>Gift Fund Balance $</v>
      </c>
      <c r="C11" s="175">
        <f ca="1">IFERROR(INDEX('Financial Data Input'!$B$7:$I$66,$A11,C$6),NA())</f>
        <v>4844.3669300000001</v>
      </c>
      <c r="D11" s="175">
        <f ca="1">IFERROR(INDEX('Financial Data Input'!$B$7:$I$66,$A11,D$6),NA())</f>
        <v>4684.5336099999995</v>
      </c>
      <c r="E11" s="175">
        <f ca="1">IFERROR(INDEX('Financial Data Input'!$B$7:$I$66,$A11,E$6),NA())</f>
        <v>5550.7911799999993</v>
      </c>
      <c r="F11" s="175">
        <f ca="1">IFERROR(INDEX('Financial Data Input'!$B$7:$I$66,$A11,F$6),NA())</f>
        <v>6708.4428999999973</v>
      </c>
      <c r="G11" s="175">
        <f ca="1">IFERROR(INDEX('Financial Data Input'!$B$7:$I$66,$A11,G$6),NA())</f>
        <v>8041.8177400000022</v>
      </c>
      <c r="H11" s="213">
        <f t="shared" ca="1" si="0"/>
        <v>0.19876070496180342</v>
      </c>
    </row>
    <row r="12" spans="1:11" ht="19.5" customHeight="1" x14ac:dyDescent="0.2">
      <c r="A12" s="175">
        <f>MATCH(B12,'Financial Data Input'!$B$7:$B$66,0)</f>
        <v>49</v>
      </c>
      <c r="B12" s="175" t="str">
        <f>IF('Key Metric Settings'!C9="","",'Key Metric Settings'!C9)</f>
        <v>Total Assets #</v>
      </c>
      <c r="C12" s="175">
        <f ca="1">IFERROR(INDEX('Financial Data Input'!$B$7:$I$66,$A12,C$6),NA())</f>
        <v>0</v>
      </c>
      <c r="D12" s="175">
        <f ca="1">IFERROR(INDEX('Financial Data Input'!$B$7:$I$66,$A12,D$6),NA())</f>
        <v>414</v>
      </c>
      <c r="E12" s="175">
        <f ca="1">IFERROR(INDEX('Financial Data Input'!$B$7:$I$66,$A12,E$6),NA())</f>
        <v>459</v>
      </c>
      <c r="F12" s="175">
        <f ca="1">IFERROR(INDEX('Financial Data Input'!$B$7:$I$66,$A12,F$6),NA())</f>
        <v>502</v>
      </c>
      <c r="G12" s="175">
        <f ca="1">IFERROR(INDEX('Financial Data Input'!$B$7:$I$66,$A12,G$6),NA())</f>
        <v>644</v>
      </c>
      <c r="H12" s="213">
        <f t="shared" ca="1" si="0"/>
        <v>0.28286852589641431</v>
      </c>
    </row>
    <row r="13" spans="1:11" ht="15.75" thickBot="1" x14ac:dyDescent="0.3"/>
    <row r="14" spans="1:11" ht="18.75" thickBot="1" x14ac:dyDescent="0.3">
      <c r="B14" s="211" t="s">
        <v>264</v>
      </c>
      <c r="C14" s="211"/>
      <c r="D14" s="211"/>
      <c r="E14" s="211"/>
      <c r="F14" s="211"/>
      <c r="G14" s="211"/>
      <c r="H14" s="211"/>
    </row>
    <row r="15" spans="1:11" ht="19.5" customHeight="1" x14ac:dyDescent="0.25">
      <c r="A15" s="175">
        <f>ROWS($B$15:B15)</f>
        <v>1</v>
      </c>
      <c r="B15" s="175" t="str">
        <f>IF('Financial Data Input'!B7=0,"",'Financial Data Input'!B7)</f>
        <v>Open PCards</v>
      </c>
      <c r="C15" s="175">
        <f ca="1">IF(B15="",NA(),IFERROR(INDEX('Financial Data Input'!$B$7:$I$66,$A15,C$6),NA()))</f>
        <v>227</v>
      </c>
      <c r="D15" s="175">
        <f ca="1">IF(B15="",NA(),IFERROR(INDEX('Financial Data Input'!$B$7:$I$66,$A15,D$6),NA()))</f>
        <v>231</v>
      </c>
      <c r="E15" s="175">
        <f ca="1">IF(B15="",NA(),IFERROR(INDEX('Financial Data Input'!$B$7:$I$66,$A15,E$6),NA()))</f>
        <v>234</v>
      </c>
      <c r="F15" s="175">
        <f ca="1">IF(B15="",NA(),IFERROR(INDEX('Financial Data Input'!$B$7:$I$66,$A15,F$6),NA()))</f>
        <v>232</v>
      </c>
      <c r="G15" s="175">
        <f ca="1">IF(B15="",NA(),IFERROR(INDEX('Financial Data Input'!$B$7:$I$66,$A15,G$6),NA()))</f>
        <v>241</v>
      </c>
      <c r="K15" s="240" t="s">
        <v>125</v>
      </c>
    </row>
    <row r="16" spans="1:11" ht="19.5" customHeight="1" x14ac:dyDescent="0.25">
      <c r="A16" s="175">
        <f>ROWS($B$15:B16)</f>
        <v>2</v>
      </c>
      <c r="B16" s="175" t="str">
        <f>IF('Financial Data Input'!B8=0,"",'Financial Data Input'!B8)</f>
        <v>PCards Open for 6 Months</v>
      </c>
      <c r="C16" s="175">
        <f ca="1">IF(B16="",NA(),IFERROR(INDEX('Financial Data Input'!$B$7:$I$66,$A16,C$6),NA()))</f>
        <v>206</v>
      </c>
      <c r="D16" s="175">
        <f ca="1">IF(B16="",NA(),IFERROR(INDEX('Financial Data Input'!$B$7:$I$66,$A16,D$6),NA()))</f>
        <v>212</v>
      </c>
      <c r="E16" s="175">
        <f ca="1">IF(B16="",NA(),IFERROR(INDEX('Financial Data Input'!$B$7:$I$66,$A16,E$6),NA()))</f>
        <v>213</v>
      </c>
      <c r="F16" s="175">
        <f ca="1">IF(B16="",NA(),IFERROR(INDEX('Financial Data Input'!$B$7:$I$66,$A16,F$6),NA()))</f>
        <v>215</v>
      </c>
      <c r="G16" s="175">
        <f ca="1">IF(B16="",NA(),IFERROR(INDEX('Financial Data Input'!$B$7:$I$66,$A16,G$6),NA()))</f>
        <v>231</v>
      </c>
      <c r="K16" s="240" t="s">
        <v>125</v>
      </c>
    </row>
    <row r="17" spans="1:11" ht="19.5" customHeight="1" x14ac:dyDescent="0.25">
      <c r="A17" s="175">
        <f>ROWS($B$15:B17)</f>
        <v>3</v>
      </c>
      <c r="B17" s="175" t="str">
        <f>IF('Financial Data Input'!B9=0,"",'Financial Data Input'!B9)</f>
        <v>Underutilized PCards #</v>
      </c>
      <c r="C17" s="175">
        <f ca="1">IF(B17="",NA(),IFERROR(INDEX('Financial Data Input'!$B$7:$I$66,$A17,C$6),NA()))</f>
        <v>5</v>
      </c>
      <c r="D17" s="175">
        <f ca="1">IF(B17="",NA(),IFERROR(INDEX('Financial Data Input'!$B$7:$I$66,$A17,D$6),NA()))</f>
        <v>8</v>
      </c>
      <c r="E17" s="175">
        <f ca="1">IF(B17="",NA(),IFERROR(INDEX('Financial Data Input'!$B$7:$I$66,$A17,E$6),NA()))</f>
        <v>11</v>
      </c>
      <c r="F17" s="175">
        <f ca="1">IF(B17="",NA(),IFERROR(INDEX('Financial Data Input'!$B$7:$I$66,$A17,F$6),NA()))</f>
        <v>3</v>
      </c>
      <c r="G17" s="175">
        <f ca="1">IF(B17="",NA(),IFERROR(INDEX('Financial Data Input'!$B$7:$I$66,$A17,G$6),NA()))</f>
        <v>3</v>
      </c>
      <c r="K17" s="240" t="s">
        <v>125</v>
      </c>
    </row>
    <row r="18" spans="1:11" ht="19.5" customHeight="1" x14ac:dyDescent="0.25">
      <c r="A18" s="175">
        <f>ROWS($B$15:B18)</f>
        <v>4</v>
      </c>
      <c r="B18" s="175" t="str">
        <f>IF('Financial Data Input'!B10=0,"",'Financial Data Input'!B10)</f>
        <v>Underutilized PCards %</v>
      </c>
      <c r="C18" s="175">
        <f ca="1">IF(B18="",NA(),IFERROR(INDEX('Financial Data Input'!$B$7:$I$66,$A18,C$6),NA()))</f>
        <v>2.4271844660194174E-2</v>
      </c>
      <c r="D18" s="175">
        <f ca="1">IF(B18="",NA(),IFERROR(INDEX('Financial Data Input'!$B$7:$I$66,$A18,D$6),NA()))</f>
        <v>3.7735849056603772E-2</v>
      </c>
      <c r="E18" s="175">
        <f ca="1">IF(B18="",NA(),IFERROR(INDEX('Financial Data Input'!$B$7:$I$66,$A18,E$6),NA()))</f>
        <v>5.1643192488262914E-2</v>
      </c>
      <c r="F18" s="175">
        <f ca="1">IF(B18="",NA(),IFERROR(INDEX('Financial Data Input'!$B$7:$I$66,$A18,F$6),NA()))</f>
        <v>1.3953488372093023E-2</v>
      </c>
      <c r="G18" s="175">
        <f ca="1">IF(B18="",NA(),IFERROR(INDEX('Financial Data Input'!$B$7:$I$66,$A18,G$6),NA()))</f>
        <v>1.2987012987012988E-2</v>
      </c>
      <c r="K18" s="240" t="s">
        <v>125</v>
      </c>
    </row>
    <row r="19" spans="1:11" ht="19.5" customHeight="1" x14ac:dyDescent="0.25">
      <c r="A19" s="175">
        <f>ROWS($B$15:B19)</f>
        <v>5</v>
      </c>
      <c r="B19" s="175" t="str">
        <f>IF('Financial Data Input'!B11=0,"",'Financial Data Input'!B11)</f>
        <v>Unused Pcards #</v>
      </c>
      <c r="C19" s="175">
        <f ca="1">IF(B19="",NA(),IFERROR(INDEX('Financial Data Input'!$B$7:$I$66,$A19,C$6),NA()))</f>
        <v>6</v>
      </c>
      <c r="D19" s="175">
        <f ca="1">IF(B19="",NA(),IFERROR(INDEX('Financial Data Input'!$B$7:$I$66,$A19,D$6),NA()))</f>
        <v>1</v>
      </c>
      <c r="E19" s="175">
        <f ca="1">IF(B19="",NA(),IFERROR(INDEX('Financial Data Input'!$B$7:$I$66,$A19,E$6),NA()))</f>
        <v>1</v>
      </c>
      <c r="F19" s="175">
        <f ca="1">IF(B19="",NA(),IFERROR(INDEX('Financial Data Input'!$B$7:$I$66,$A19,F$6),NA()))</f>
        <v>2</v>
      </c>
      <c r="G19" s="175">
        <f ca="1">IF(B19="",NA(),IFERROR(INDEX('Financial Data Input'!$B$7:$I$66,$A19,G$6),NA()))</f>
        <v>9</v>
      </c>
      <c r="K19" s="240" t="s">
        <v>125</v>
      </c>
    </row>
    <row r="20" spans="1:11" ht="19.5" customHeight="1" x14ac:dyDescent="0.25">
      <c r="A20" s="175">
        <f>ROWS($B$15:B20)</f>
        <v>6</v>
      </c>
      <c r="B20" s="175" t="str">
        <f>IF('Financial Data Input'!B12=0,"",'Financial Data Input'!B12)</f>
        <v>Unused Pcards %</v>
      </c>
      <c r="C20" s="175">
        <f ca="1">IF(B20="",NA(),IFERROR(INDEX('Financial Data Input'!$B$7:$I$66,$A20,C$6),NA()))</f>
        <v>2.9126213592233011E-2</v>
      </c>
      <c r="D20" s="175">
        <f ca="1">IF(B20="",NA(),IFERROR(INDEX('Financial Data Input'!$B$7:$I$66,$A20,D$6),NA()))</f>
        <v>4.7169811320754715E-3</v>
      </c>
      <c r="E20" s="175">
        <f ca="1">IF(B20="",NA(),IFERROR(INDEX('Financial Data Input'!$B$7:$I$66,$A20,E$6),NA()))</f>
        <v>4.6948356807511738E-3</v>
      </c>
      <c r="F20" s="175">
        <f ca="1">IF(B20="",NA(),IFERROR(INDEX('Financial Data Input'!$B$7:$I$66,$A20,F$6),NA()))</f>
        <v>9.3023255813953487E-3</v>
      </c>
      <c r="G20" s="175">
        <f ca="1">IF(B20="",NA(),IFERROR(INDEX('Financial Data Input'!$B$7:$I$66,$A20,G$6),NA()))</f>
        <v>3.896103896103896E-2</v>
      </c>
      <c r="K20" s="240" t="s">
        <v>125</v>
      </c>
    </row>
    <row r="21" spans="1:11" ht="19.5" customHeight="1" x14ac:dyDescent="0.25">
      <c r="A21" s="175">
        <f>ROWS($B$15:B21)</f>
        <v>7</v>
      </c>
      <c r="B21" s="175" t="str">
        <f>IF('Financial Data Input'!B13=0,"",'Financial Data Input'!B13)</f>
        <v>Total Paid $</v>
      </c>
      <c r="C21" s="175">
        <f ca="1">IF(B21="",NA(),IFERROR(INDEX('Financial Data Input'!$B$7:$I$66,$A21,C$6),NA()))</f>
        <v>68121.723159999994</v>
      </c>
      <c r="D21" s="175">
        <f ca="1">IF(B21="",NA(),IFERROR(INDEX('Financial Data Input'!$B$7:$I$66,$A21,D$6),NA()))</f>
        <v>71782.569750000039</v>
      </c>
      <c r="E21" s="175">
        <f ca="1">IF(B21="",NA(),IFERROR(INDEX('Financial Data Input'!$B$7:$I$66,$A21,E$6),NA()))</f>
        <v>76130.350800000015</v>
      </c>
      <c r="F21" s="175">
        <f ca="1">IF(B21="",NA(),IFERROR(INDEX('Financial Data Input'!$B$7:$I$66,$A21,F$6),NA()))</f>
        <v>79474.313180000012</v>
      </c>
      <c r="G21" s="175">
        <f ca="1">IF(B21="",NA(),IFERROR(INDEX('Financial Data Input'!$B$7:$I$66,$A21,G$6),NA()))</f>
        <v>81494.837350000031</v>
      </c>
      <c r="K21" s="314" t="s">
        <v>130</v>
      </c>
    </row>
    <row r="22" spans="1:11" ht="19.5" customHeight="1" x14ac:dyDescent="0.25">
      <c r="A22" s="175">
        <f>ROWS($B$15:B22)</f>
        <v>8</v>
      </c>
      <c r="B22" s="175" t="str">
        <f>IF('Financial Data Input'!B14=0,"",'Financial Data Input'!B14)</f>
        <v>Total Transfers $</v>
      </c>
      <c r="C22" s="175">
        <f ca="1">IF(B22="",NA(),IFERROR(INDEX('Financial Data Input'!$B$7:$I$66,$A22,C$6),NA()))</f>
        <v>1081.2899</v>
      </c>
      <c r="D22" s="175">
        <f ca="1">IF(B22="",NA(),IFERROR(INDEX('Financial Data Input'!$B$7:$I$66,$A22,D$6),NA()))</f>
        <v>669.56615000000011</v>
      </c>
      <c r="E22" s="175">
        <f ca="1">IF(B22="",NA(),IFERROR(INDEX('Financial Data Input'!$B$7:$I$66,$A22,E$6),NA()))</f>
        <v>794.53362000000004</v>
      </c>
      <c r="F22" s="175">
        <f ca="1">IF(B22="",NA(),IFERROR(INDEX('Financial Data Input'!$B$7:$I$66,$A22,F$6),NA()))</f>
        <v>675.09770000000003</v>
      </c>
      <c r="G22" s="175">
        <f ca="1">IF(B22="",NA(),IFERROR(INDEX('Financial Data Input'!$B$7:$I$66,$A22,G$6),NA()))</f>
        <v>737.61124000000052</v>
      </c>
      <c r="K22" s="314" t="s">
        <v>130</v>
      </c>
    </row>
    <row r="23" spans="1:11" ht="19.5" customHeight="1" x14ac:dyDescent="0.25">
      <c r="A23" s="175">
        <f>ROWS($B$15:B23)</f>
        <v>9</v>
      </c>
      <c r="B23" s="175" t="str">
        <f>IF('Financial Data Input'!B15=0,"",'Financial Data Input'!B15)</f>
        <v>Retro Salary Transfers &gt; 90 Days $</v>
      </c>
      <c r="C23" s="175">
        <f ca="1">IF(B23="",NA(),IFERROR(INDEX('Financial Data Input'!$B$7:$I$66,$A23,C$6),NA()))</f>
        <v>217.19247999999996</v>
      </c>
      <c r="D23" s="175">
        <f ca="1">IF(B23="",NA(),IFERROR(INDEX('Financial Data Input'!$B$7:$I$66,$A23,D$6),NA()))</f>
        <v>82.073789999999988</v>
      </c>
      <c r="E23" s="175">
        <f ca="1">IF(B23="",NA(),IFERROR(INDEX('Financial Data Input'!$B$7:$I$66,$A23,E$6),NA()))</f>
        <v>207.64295999999999</v>
      </c>
      <c r="F23" s="175">
        <f ca="1">IF(B23="",NA(),IFERROR(INDEX('Financial Data Input'!$B$7:$I$66,$A23,F$6),NA()))</f>
        <v>167.25851999999998</v>
      </c>
      <c r="G23" s="175">
        <f ca="1">IF(B23="",NA(),IFERROR(INDEX('Financial Data Input'!$B$7:$I$66,$A23,G$6),NA()))</f>
        <v>96.481699999999961</v>
      </c>
      <c r="K23" s="314" t="s">
        <v>130</v>
      </c>
    </row>
    <row r="24" spans="1:11" ht="19.5" customHeight="1" x14ac:dyDescent="0.25">
      <c r="A24" s="175">
        <f>ROWS($B$15:B24)</f>
        <v>10</v>
      </c>
      <c r="B24" s="175" t="str">
        <f>IF('Financial Data Input'!B16=0,"",'Financial Data Input'!B16)</f>
        <v>Total Transfers %</v>
      </c>
      <c r="C24" s="175">
        <f ca="1">IF(B24="",NA(),IFERROR(INDEX('Financial Data Input'!$B$7:$I$66,$A24,C$6),NA()))</f>
        <v>1.5872908814422302E-2</v>
      </c>
      <c r="D24" s="175">
        <f ca="1">IF(B24="",NA(),IFERROR(INDEX('Financial Data Input'!$B$7:$I$66,$A24,D$6),NA()))</f>
        <v>9.3276982466903077E-3</v>
      </c>
      <c r="E24" s="175">
        <f ca="1">IF(B24="",NA(),IFERROR(INDEX('Financial Data Input'!$B$7:$I$66,$A24,E$6),NA()))</f>
        <v>1.0436489673971131E-2</v>
      </c>
      <c r="F24" s="175">
        <f ca="1">IF(B24="",NA(),IFERROR(INDEX('Financial Data Input'!$B$7:$I$66,$A24,F$6),NA()))</f>
        <v>8.4945395938305617E-3</v>
      </c>
      <c r="G24" s="175">
        <f ca="1">IF(B24="",NA(),IFERROR(INDEX('Financial Data Input'!$B$7:$I$66,$A24,G$6),NA()))</f>
        <v>9.051018002921388E-3</v>
      </c>
      <c r="K24" s="314" t="s">
        <v>130</v>
      </c>
    </row>
    <row r="25" spans="1:11" ht="19.5" customHeight="1" x14ac:dyDescent="0.25">
      <c r="A25" s="175">
        <f>ROWS($B$15:B25)</f>
        <v>11</v>
      </c>
      <c r="B25" s="175" t="str">
        <f>IF('Financial Data Input'!B17=0,"",'Financial Data Input'!B17)</f>
        <v>Transfers &gt; 90 Days %</v>
      </c>
      <c r="C25" s="175">
        <f ca="1">IF(B25="",NA(),IFERROR(INDEX('Financial Data Input'!$B$7:$I$66,$A25,C$6),NA()))</f>
        <v>3.1882998539228373E-3</v>
      </c>
      <c r="D25" s="175">
        <f ca="1">IF(B25="",NA(),IFERROR(INDEX('Financial Data Input'!$B$7:$I$66,$A25,D$6),NA()))</f>
        <v>1.2597842176963424E-3</v>
      </c>
      <c r="E25" s="175">
        <f ca="1">IF(B25="",NA(),IFERROR(INDEX('Financial Data Input'!$B$7:$I$66,$A25,E$6),NA()))</f>
        <v>2.7274662183744982E-3</v>
      </c>
      <c r="F25" s="175">
        <f ca="1">IF(B25="",NA(),IFERROR(INDEX('Financial Data Input'!$B$7:$I$66,$A25,F$6),NA()))</f>
        <v>2.1045607480894997E-3</v>
      </c>
      <c r="G25" s="175">
        <f ca="1">IF(B25="",NA(),IFERROR(INDEX('Financial Data Input'!$B$7:$I$66,$A25,G$6),NA()))</f>
        <v>1.1838995344654179E-3</v>
      </c>
      <c r="K25" s="314" t="s">
        <v>130</v>
      </c>
    </row>
    <row r="26" spans="1:11" ht="19.5" customHeight="1" x14ac:dyDescent="0.25">
      <c r="A26" s="175">
        <f>ROWS($B$15:B26)</f>
        <v>12</v>
      </c>
      <c r="B26" s="175" t="str">
        <f>IF('Financial Data Input'!B18=0,"",'Financial Data Input'!B18)</f>
        <v>Total Paid $</v>
      </c>
      <c r="C26" s="175">
        <f ca="1">IF(B26="",NA(),IFERROR(INDEX('Financial Data Input'!$B$7:$I$66,$A26,C$6),NA()))</f>
        <v>54.935000000000002</v>
      </c>
      <c r="D26" s="175">
        <f ca="1">IF(B26="",NA(),IFERROR(INDEX('Financial Data Input'!$B$7:$I$66,$A26,D$6),NA()))</f>
        <v>27.970400000000001</v>
      </c>
      <c r="E26" s="175">
        <f ca="1">IF(B26="",NA(),IFERROR(INDEX('Financial Data Input'!$B$7:$I$66,$A26,E$6),NA()))</f>
        <v>34.646640000000005</v>
      </c>
      <c r="F26" s="175">
        <f ca="1">IF(B26="",NA(),IFERROR(INDEX('Financial Data Input'!$B$7:$I$66,$A26,F$6),NA()))</f>
        <v>44.032240000000016</v>
      </c>
      <c r="G26" s="175">
        <f ca="1">IF(B26="",NA(),IFERROR(INDEX('Financial Data Input'!$B$7:$I$66,$A26,G$6),NA()))</f>
        <v>143.0073100000001</v>
      </c>
      <c r="K26" s="240" t="s">
        <v>403</v>
      </c>
    </row>
    <row r="27" spans="1:11" ht="19.5" customHeight="1" x14ac:dyDescent="0.25">
      <c r="A27" s="175">
        <f>ROWS($B$15:B27)</f>
        <v>13</v>
      </c>
      <c r="B27" s="175" t="str">
        <f>IF('Financial Data Input'!B19=0,"",'Financial Data Input'!B19)</f>
        <v>Total Transfers $</v>
      </c>
      <c r="C27" s="175">
        <f ca="1">IF(B27="",NA(),IFERROR(INDEX('Financial Data Input'!$B$7:$I$66,$A27,C$6),NA()))</f>
        <v>1.46</v>
      </c>
      <c r="D27" s="175">
        <f ca="1">IF(B27="",NA(),IFERROR(INDEX('Financial Data Input'!$B$7:$I$66,$A27,D$6),NA()))</f>
        <v>1.1269</v>
      </c>
      <c r="E27" s="175">
        <f ca="1">IF(B27="",NA(),IFERROR(INDEX('Financial Data Input'!$B$7:$I$66,$A27,E$6),NA()))</f>
        <v>6.0459300000000002</v>
      </c>
      <c r="F27" s="175">
        <f ca="1">IF(B27="",NA(),IFERROR(INDEX('Financial Data Input'!$B$7:$I$66,$A27,F$6),NA()))</f>
        <v>2.8926100000000003</v>
      </c>
      <c r="G27" s="175">
        <f ca="1">IF(B27="",NA(),IFERROR(INDEX('Financial Data Input'!$B$7:$I$66,$A27,G$6),NA()))</f>
        <v>18.705289999999998</v>
      </c>
      <c r="K27" s="240" t="s">
        <v>403</v>
      </c>
    </row>
    <row r="28" spans="1:11" ht="19.5" customHeight="1" x14ac:dyDescent="0.25">
      <c r="A28" s="175">
        <f>ROWS($B$15:B28)</f>
        <v>14</v>
      </c>
      <c r="B28" s="175" t="str">
        <f>IF('Financial Data Input'!B20=0,"",'Financial Data Input'!B20)</f>
        <v>Transfers After PG End Date $</v>
      </c>
      <c r="C28" s="175">
        <f ca="1">IF(B28="",NA(),IFERROR(INDEX('Financial Data Input'!$B$7:$I$66,$A28,C$6),NA()))</f>
        <v>0</v>
      </c>
      <c r="D28" s="175">
        <f ca="1">IF(B28="",NA(),IFERROR(INDEX('Financial Data Input'!$B$7:$I$66,$A28,D$6),NA()))</f>
        <v>0.3</v>
      </c>
      <c r="E28" s="175">
        <f ca="1">IF(B28="",NA(),IFERROR(INDEX('Financial Data Input'!$B$7:$I$66,$A28,E$6),NA()))</f>
        <v>1.6084699999999996</v>
      </c>
      <c r="F28" s="175">
        <f ca="1">IF(B28="",NA(),IFERROR(INDEX('Financial Data Input'!$B$7:$I$66,$A28,F$6),NA()))</f>
        <v>0</v>
      </c>
      <c r="G28" s="175">
        <f ca="1">IF(B28="",NA(),IFERROR(INDEX('Financial Data Input'!$B$7:$I$66,$A28,G$6),NA()))</f>
        <v>0.36535000000000001</v>
      </c>
      <c r="K28" s="240" t="s">
        <v>403</v>
      </c>
    </row>
    <row r="29" spans="1:11" ht="19.5" customHeight="1" x14ac:dyDescent="0.25">
      <c r="A29" s="175">
        <f>ROWS($B$15:B29)</f>
        <v>15</v>
      </c>
      <c r="B29" s="175" t="str">
        <f>IF('Financial Data Input'!B21=0,"",'Financial Data Input'!B21)</f>
        <v>Total Transfers %</v>
      </c>
      <c r="C29" s="175">
        <f ca="1">IF(B29="",NA(),IFERROR(INDEX('Financial Data Input'!$B$7:$I$66,$A29,C$6),NA()))</f>
        <v>2.6576863566032585E-2</v>
      </c>
      <c r="D29" s="175">
        <f ca="1">IF(B29="",NA(),IFERROR(INDEX('Financial Data Input'!$B$7:$I$66,$A29,D$6),NA()))</f>
        <v>4.0289019820953578E-2</v>
      </c>
      <c r="E29" s="175">
        <f ca="1">IF(B29="",NA(),IFERROR(INDEX('Financial Data Input'!$B$7:$I$66,$A29,E$6),NA()))</f>
        <v>0.17450263575342367</v>
      </c>
      <c r="F29" s="175">
        <f ca="1">IF(B29="",NA(),IFERROR(INDEX('Financial Data Input'!$B$7:$I$66,$A29,F$6),NA()))</f>
        <v>8.348890397452681E-2</v>
      </c>
      <c r="G29" s="175">
        <f ca="1">IF(B29="",NA(),IFERROR(INDEX('Financial Data Input'!$B$7:$I$66,$A29,G$6),NA()))</f>
        <v>0.13079953745021833</v>
      </c>
      <c r="K29" s="240" t="s">
        <v>403</v>
      </c>
    </row>
    <row r="30" spans="1:11" ht="19.5" customHeight="1" x14ac:dyDescent="0.25">
      <c r="A30" s="175">
        <f>ROWS($B$15:B30)</f>
        <v>16</v>
      </c>
      <c r="B30" s="175" t="str">
        <f>IF('Financial Data Input'!B22=0,"",'Financial Data Input'!B22)</f>
        <v>Transfers After PG End Date %</v>
      </c>
      <c r="C30" s="175">
        <f ca="1">IF(B30="",NA(),IFERROR(INDEX('Financial Data Input'!$B$7:$I$66,$A30,C$6),NA()))</f>
        <v>0</v>
      </c>
      <c r="D30" s="175">
        <f ca="1">IF(B30="",NA(),IFERROR(INDEX('Financial Data Input'!$B$7:$I$66,$A30,D$6),NA()))</f>
        <v>1.0725624231330264E-2</v>
      </c>
      <c r="E30" s="175">
        <f ca="1">IF(B30="",NA(),IFERROR(INDEX('Financial Data Input'!$B$7:$I$66,$A30,E$6),NA()))</f>
        <v>4.6424992437939128E-2</v>
      </c>
      <c r="F30" s="175">
        <f ca="1">IF(B30="",NA(),IFERROR(INDEX('Financial Data Input'!$B$7:$I$66,$A30,F$6),NA()))</f>
        <v>0</v>
      </c>
      <c r="G30" s="175">
        <f ca="1">IF(B30="",NA(),IFERROR(INDEX('Financial Data Input'!$B$7:$I$66,$A30,G$6),NA()))</f>
        <v>2.5547645081919219E-3</v>
      </c>
      <c r="K30" s="240" t="s">
        <v>403</v>
      </c>
    </row>
    <row r="31" spans="1:11" ht="19.5" customHeight="1" x14ac:dyDescent="0.25">
      <c r="A31" s="175">
        <f>ROWS($B$15:B31)</f>
        <v>17</v>
      </c>
      <c r="B31" s="175" t="str">
        <f>IF('Financial Data Input'!B23=0,"",'Financial Data Input'!B23)</f>
        <v>Faculty/Staff Required to Certify #</v>
      </c>
      <c r="C31" s="175">
        <f ca="1">IF(B31="",NA(),IFERROR(INDEX('Financial Data Input'!$B$7:$I$66,$A31,C$6),NA()))</f>
        <v>46</v>
      </c>
      <c r="D31" s="175">
        <f ca="1">IF(B31="",NA(),IFERROR(INDEX('Financial Data Input'!$B$7:$I$66,$A31,D$6),NA()))</f>
        <v>39</v>
      </c>
      <c r="E31" s="175">
        <f ca="1">IF(B31="",NA(),IFERROR(INDEX('Financial Data Input'!$B$7:$I$66,$A31,E$6),NA()))</f>
        <v>40</v>
      </c>
      <c r="F31" s="175">
        <f ca="1">IF(B31="",NA(),IFERROR(INDEX('Financial Data Input'!$B$7:$I$66,$A31,F$6),NA()))</f>
        <v>15</v>
      </c>
      <c r="G31" s="175">
        <f ca="1">IF(B31="",NA(),IFERROR(INDEX('Financial Data Input'!$B$7:$I$66,$A31,G$6),NA()))</f>
        <v>0</v>
      </c>
      <c r="K31" s="314" t="s">
        <v>404</v>
      </c>
    </row>
    <row r="32" spans="1:11" ht="19.5" customHeight="1" x14ac:dyDescent="0.25">
      <c r="A32" s="175">
        <f>ROWS($B$15:B32)</f>
        <v>18</v>
      </c>
      <c r="B32" s="175" t="str">
        <f>IF('Financial Data Input'!B24=0,"",'Financial Data Input'!B24)</f>
        <v>On-Time #</v>
      </c>
      <c r="C32" s="175">
        <f ca="1">IF(B32="",NA(),IFERROR(INDEX('Financial Data Input'!$B$7:$I$66,$A32,C$6),NA()))</f>
        <v>32</v>
      </c>
      <c r="D32" s="175">
        <f ca="1">IF(B32="",NA(),IFERROR(INDEX('Financial Data Input'!$B$7:$I$66,$A32,D$6),NA()))</f>
        <v>37</v>
      </c>
      <c r="E32" s="175">
        <f ca="1">IF(B32="",NA(),IFERROR(INDEX('Financial Data Input'!$B$7:$I$66,$A32,E$6),NA()))</f>
        <v>37</v>
      </c>
      <c r="F32" s="175">
        <f ca="1">IF(B32="",NA(),IFERROR(INDEX('Financial Data Input'!$B$7:$I$66,$A32,F$6),NA()))</f>
        <v>15</v>
      </c>
      <c r="G32" s="175">
        <f ca="1">IF(B32="",NA(),IFERROR(INDEX('Financial Data Input'!$B$7:$I$66,$A32,G$6),NA()))</f>
        <v>0</v>
      </c>
      <c r="K32" s="314" t="s">
        <v>404</v>
      </c>
    </row>
    <row r="33" spans="1:11" ht="19.5" customHeight="1" x14ac:dyDescent="0.25">
      <c r="A33" s="175">
        <f>ROWS($B$15:B33)</f>
        <v>19</v>
      </c>
      <c r="B33" s="175" t="str">
        <f>IF('Financial Data Input'!B25=0,"",'Financial Data Input'!B25)</f>
        <v>On-Time %</v>
      </c>
      <c r="C33" s="175">
        <f ca="1">IF(B33="",NA(),IFERROR(INDEX('Financial Data Input'!$B$7:$I$66,$A33,C$6),NA()))</f>
        <v>0.69565217391304346</v>
      </c>
      <c r="D33" s="175">
        <f ca="1">IF(B33="",NA(),IFERROR(INDEX('Financial Data Input'!$B$7:$I$66,$A33,D$6),NA()))</f>
        <v>0.94871794871794868</v>
      </c>
      <c r="E33" s="175">
        <f ca="1">IF(B33="",NA(),IFERROR(INDEX('Financial Data Input'!$B$7:$I$66,$A33,E$6),NA()))</f>
        <v>0.92500000000000004</v>
      </c>
      <c r="F33" s="175">
        <f ca="1">IF(B33="",NA(),IFERROR(INDEX('Financial Data Input'!$B$7:$I$66,$A33,F$6),NA()))</f>
        <v>1</v>
      </c>
      <c r="G33" s="175" t="e">
        <f ca="1">IF(B33="",NA(),IFERROR(INDEX('Financial Data Input'!$B$7:$I$66,$A33,G$6),NA()))</f>
        <v>#N/A</v>
      </c>
      <c r="K33" s="314" t="s">
        <v>404</v>
      </c>
    </row>
    <row r="34" spans="1:11" ht="19.5" customHeight="1" x14ac:dyDescent="0.25">
      <c r="A34" s="175">
        <f>ROWS($B$15:B34)</f>
        <v>20</v>
      </c>
      <c r="B34" s="175" t="str">
        <f>IF('Financial Data Input'!B26=0,"",'Financial Data Input'!B26)</f>
        <v>Deposit Locations #</v>
      </c>
      <c r="C34" s="175">
        <f ca="1">IF(B34="",NA(),IFERROR(INDEX('Financial Data Input'!$B$7:$I$66,$A34,C$6),NA()))</f>
        <v>51</v>
      </c>
      <c r="D34" s="175">
        <f ca="1">IF(B34="",NA(),IFERROR(INDEX('Financial Data Input'!$B$7:$I$66,$A34,D$6),NA()))</f>
        <v>84</v>
      </c>
      <c r="E34" s="175">
        <f ca="1">IF(B34="",NA(),IFERROR(INDEX('Financial Data Input'!$B$7:$I$66,$A34,E$6),NA()))</f>
        <v>48</v>
      </c>
      <c r="F34" s="175">
        <f ca="1">IF(B34="",NA(),IFERROR(INDEX('Financial Data Input'!$B$7:$I$66,$A34,F$6),NA()))</f>
        <v>43</v>
      </c>
      <c r="G34" s="175">
        <f ca="1">IF(B34="",NA(),IFERROR(INDEX('Financial Data Input'!$B$7:$I$66,$A34,G$6),NA()))</f>
        <v>44</v>
      </c>
      <c r="K34" s="240" t="s">
        <v>202</v>
      </c>
    </row>
    <row r="35" spans="1:11" ht="19.5" customHeight="1" x14ac:dyDescent="0.25">
      <c r="A35" s="175">
        <f>ROWS($B$15:B35)</f>
        <v>21</v>
      </c>
      <c r="B35" s="175" t="str">
        <f>IF('Financial Data Input'!B27=0,"",'Financial Data Input'!B27)</f>
        <v>Deposits #</v>
      </c>
      <c r="C35" s="175">
        <f ca="1">IF(B35="",NA(),IFERROR(INDEX('Financial Data Input'!$B$7:$I$66,$A35,C$6),NA()))</f>
        <v>6545</v>
      </c>
      <c r="D35" s="175">
        <f ca="1">IF(B35="",NA(),IFERROR(INDEX('Financial Data Input'!$B$7:$I$66,$A35,D$6),NA()))</f>
        <v>6039</v>
      </c>
      <c r="E35" s="175">
        <f ca="1">IF(B35="",NA(),IFERROR(INDEX('Financial Data Input'!$B$7:$I$66,$A35,E$6),NA()))</f>
        <v>5789</v>
      </c>
      <c r="F35" s="175">
        <f ca="1">IF(B35="",NA(),IFERROR(INDEX('Financial Data Input'!$B$7:$I$66,$A35,F$6),NA()))</f>
        <v>4992</v>
      </c>
      <c r="G35" s="175">
        <f ca="1">IF(B35="",NA(),IFERROR(INDEX('Financial Data Input'!$B$7:$I$66,$A35,G$6),NA()))</f>
        <v>3621</v>
      </c>
      <c r="K35" s="240" t="s">
        <v>202</v>
      </c>
    </row>
    <row r="36" spans="1:11" ht="19.5" customHeight="1" x14ac:dyDescent="0.25">
      <c r="A36" s="175">
        <f>ROWS($B$15:B36)</f>
        <v>22</v>
      </c>
      <c r="B36" s="175" t="str">
        <f>IF('Financial Data Input'!B28=0,"",'Financial Data Input'!B28)</f>
        <v>Deposits $</v>
      </c>
      <c r="C36" s="175">
        <f ca="1">IF(B36="",NA(),IFERROR(INDEX('Financial Data Input'!$B$7:$I$66,$A36,C$6),NA()))</f>
        <v>9527.0562899999986</v>
      </c>
      <c r="D36" s="175">
        <f ca="1">IF(B36="",NA(),IFERROR(INDEX('Financial Data Input'!$B$7:$I$66,$A36,D$6),NA()))</f>
        <v>10256.590900000001</v>
      </c>
      <c r="E36" s="175">
        <f ca="1">IF(B36="",NA(),IFERROR(INDEX('Financial Data Input'!$B$7:$I$66,$A36,E$6),NA()))</f>
        <v>9550.445029999999</v>
      </c>
      <c r="F36" s="175">
        <f ca="1">IF(B36="",NA(),IFERROR(INDEX('Financial Data Input'!$B$7:$I$66,$A36,F$6),NA()))</f>
        <v>10040.762879999998</v>
      </c>
      <c r="G36" s="175">
        <f ca="1">IF(B36="",NA(),IFERROR(INDEX('Financial Data Input'!$B$7:$I$66,$A36,G$6),NA()))</f>
        <v>6432.9769400000005</v>
      </c>
      <c r="K36" s="240" t="s">
        <v>202</v>
      </c>
    </row>
    <row r="37" spans="1:11" ht="19.5" customHeight="1" x14ac:dyDescent="0.25">
      <c r="A37" s="175">
        <f>ROWS($B$15:B37)</f>
        <v>23</v>
      </c>
      <c r="B37" s="175" t="str">
        <f>IF('Financial Data Input'!B29=0,"",'Financial Data Input'!B29)</f>
        <v>Depositors #</v>
      </c>
      <c r="C37" s="175">
        <f ca="1">IF(B37="",NA(),IFERROR(INDEX('Financial Data Input'!$B$7:$I$66,$A37,C$6),NA()))</f>
        <v>0</v>
      </c>
      <c r="D37" s="175">
        <f ca="1">IF(B37="",NA(),IFERROR(INDEX('Financial Data Input'!$B$7:$I$66,$A37,D$6),NA()))</f>
        <v>70</v>
      </c>
      <c r="E37" s="175">
        <f ca="1">IF(B37="",NA(),IFERROR(INDEX('Financial Data Input'!$B$7:$I$66,$A37,E$6),NA()))</f>
        <v>116</v>
      </c>
      <c r="F37" s="175">
        <f ca="1">IF(B37="",NA(),IFERROR(INDEX('Financial Data Input'!$B$7:$I$66,$A37,F$6),NA()))</f>
        <v>106</v>
      </c>
      <c r="G37" s="175">
        <f ca="1">IF(B37="",NA(),IFERROR(INDEX('Financial Data Input'!$B$7:$I$66,$A37,G$6),NA()))</f>
        <v>140</v>
      </c>
      <c r="K37" s="240" t="s">
        <v>202</v>
      </c>
    </row>
    <row r="38" spans="1:11" ht="19.5" customHeight="1" x14ac:dyDescent="0.25">
      <c r="A38" s="175">
        <f>ROWS($B$15:B38)</f>
        <v>24</v>
      </c>
      <c r="B38" s="175" t="str">
        <f>IF('Financial Data Input'!B30=0,"",'Financial Data Input'!B30)</f>
        <v>Depositors - Up to Date on Training #</v>
      </c>
      <c r="C38" s="175">
        <f ca="1">IF(B38="",NA(),IFERROR(INDEX('Financial Data Input'!$B$7:$I$66,$A38,C$6),NA()))</f>
        <v>0</v>
      </c>
      <c r="D38" s="175">
        <f ca="1">IF(B38="",NA(),IFERROR(INDEX('Financial Data Input'!$B$7:$I$66,$A38,D$6),NA()))</f>
        <v>45</v>
      </c>
      <c r="E38" s="175">
        <f ca="1">IF(B38="",NA(),IFERROR(INDEX('Financial Data Input'!$B$7:$I$66,$A38,E$6),NA()))</f>
        <v>67</v>
      </c>
      <c r="F38" s="175">
        <f ca="1">IF(B38="",NA(),IFERROR(INDEX('Financial Data Input'!$B$7:$I$66,$A38,F$6),NA()))</f>
        <v>69</v>
      </c>
      <c r="G38" s="175">
        <f ca="1">IF(B38="",NA(),IFERROR(INDEX('Financial Data Input'!$B$7:$I$66,$A38,G$6),NA()))</f>
        <v>102</v>
      </c>
      <c r="K38" s="240" t="s">
        <v>202</v>
      </c>
    </row>
    <row r="39" spans="1:11" ht="19.5" customHeight="1" x14ac:dyDescent="0.25">
      <c r="A39" s="175">
        <f>ROWS($B$15:B39)</f>
        <v>25</v>
      </c>
      <c r="B39" s="175" t="str">
        <f>IF('Financial Data Input'!B31=0,"",'Financial Data Input'!B31)</f>
        <v>Depositors - Up to Date on Training %</v>
      </c>
      <c r="C39" s="175">
        <f ca="1">IF(B39="",NA(),IFERROR(INDEX('Financial Data Input'!$B$7:$I$66,$A39,C$6),NA()))</f>
        <v>0</v>
      </c>
      <c r="D39" s="175">
        <f ca="1">IF(B39="",NA(),IFERROR(INDEX('Financial Data Input'!$B$7:$I$66,$A39,D$6),NA()))</f>
        <v>0.6428571428571429</v>
      </c>
      <c r="E39" s="175">
        <f ca="1">IF(B39="",NA(),IFERROR(INDEX('Financial Data Input'!$B$7:$I$66,$A39,E$6),NA()))</f>
        <v>0.57758620689655171</v>
      </c>
      <c r="F39" s="175">
        <f ca="1">IF(B39="",NA(),IFERROR(INDEX('Financial Data Input'!$B$7:$I$66,$A39,F$6),NA()))</f>
        <v>0.65094339622641506</v>
      </c>
      <c r="G39" s="175">
        <f ca="1">IF(B39="",NA(),IFERROR(INDEX('Financial Data Input'!$B$7:$I$66,$A39,G$6),NA()))</f>
        <v>0.72857142857142854</v>
      </c>
      <c r="K39" s="240" t="s">
        <v>202</v>
      </c>
    </row>
    <row r="40" spans="1:11" ht="19.5" customHeight="1" x14ac:dyDescent="0.25">
      <c r="A40" s="175">
        <f>ROWS($B$15:B40)</f>
        <v>26</v>
      </c>
      <c r="B40" s="175" t="str">
        <f>IF('Financial Data Input'!B32=0,"",'Financial Data Input'!B32)</f>
        <v>Merchants #</v>
      </c>
      <c r="C40" s="175">
        <f ca="1">IF(B40="",NA(),IFERROR(INDEX('Financial Data Input'!$B$7:$I$66,$A40,C$6),NA()))</f>
        <v>55</v>
      </c>
      <c r="D40" s="175">
        <f ca="1">IF(B40="",NA(),IFERROR(INDEX('Financial Data Input'!$B$7:$I$66,$A40,D$6),NA()))</f>
        <v>56</v>
      </c>
      <c r="E40" s="175">
        <f ca="1">IF(B40="",NA(),IFERROR(INDEX('Financial Data Input'!$B$7:$I$66,$A40,E$6),NA()))</f>
        <v>54</v>
      </c>
      <c r="F40" s="175">
        <f ca="1">IF(B40="",NA(),IFERROR(INDEX('Financial Data Input'!$B$7:$I$66,$A40,F$6),NA()))</f>
        <v>50</v>
      </c>
      <c r="G40" s="175">
        <f ca="1">IF(B40="",NA(),IFERROR(INDEX('Financial Data Input'!$B$7:$I$66,$A40,G$6),NA()))</f>
        <v>55</v>
      </c>
      <c r="K40" s="314" t="s">
        <v>110</v>
      </c>
    </row>
    <row r="41" spans="1:11" ht="19.5" customHeight="1" x14ac:dyDescent="0.25">
      <c r="A41" s="175">
        <f>ROWS($B$15:B41)</f>
        <v>27</v>
      </c>
      <c r="B41" s="175" t="str">
        <f>IF('Financial Data Input'!B33=0,"",'Financial Data Input'!B33)</f>
        <v>Merchants Compliant #</v>
      </c>
      <c r="C41" s="175">
        <f ca="1">IF(B41="",NA(),IFERROR(INDEX('Financial Data Input'!$B$7:$I$66,$A41,C$6),NA()))</f>
        <v>45</v>
      </c>
      <c r="D41" s="175">
        <f ca="1">IF(B41="",NA(),IFERROR(INDEX('Financial Data Input'!$B$7:$I$66,$A41,D$6),NA()))</f>
        <v>42</v>
      </c>
      <c r="E41" s="175">
        <f ca="1">IF(B41="",NA(),IFERROR(INDEX('Financial Data Input'!$B$7:$I$66,$A41,E$6),NA()))</f>
        <v>52</v>
      </c>
      <c r="F41" s="175">
        <f ca="1">IF(B41="",NA(),IFERROR(INDEX('Financial Data Input'!$B$7:$I$66,$A41,F$6),NA()))</f>
        <v>47</v>
      </c>
      <c r="G41" s="175">
        <f ca="1">IF(B41="",NA(),IFERROR(INDEX('Financial Data Input'!$B$7:$I$66,$A41,G$6),NA()))</f>
        <v>48</v>
      </c>
      <c r="K41" s="314" t="s">
        <v>110</v>
      </c>
    </row>
    <row r="42" spans="1:11" ht="19.5" customHeight="1" x14ac:dyDescent="0.25">
      <c r="A42" s="175">
        <f>ROWS($B$15:B42)</f>
        <v>28</v>
      </c>
      <c r="B42" s="175" t="str">
        <f>IF('Financial Data Input'!B34=0,"",'Financial Data Input'!B34)</f>
        <v>Merchants Compliant %</v>
      </c>
      <c r="C42" s="175">
        <f ca="1">IF(B42="",NA(),IFERROR(INDEX('Financial Data Input'!$B$7:$I$66,$A42,C$6),NA()))</f>
        <v>0.81818181818181823</v>
      </c>
      <c r="D42" s="175">
        <f ca="1">IF(B42="",NA(),IFERROR(INDEX('Financial Data Input'!$B$7:$I$66,$A42,D$6),NA()))</f>
        <v>0.75</v>
      </c>
      <c r="E42" s="175">
        <f ca="1">IF(B42="",NA(),IFERROR(INDEX('Financial Data Input'!$B$7:$I$66,$A42,E$6),NA()))</f>
        <v>0.96296296296296291</v>
      </c>
      <c r="F42" s="175">
        <f ca="1">IF(B42="",NA(),IFERROR(INDEX('Financial Data Input'!$B$7:$I$66,$A42,F$6),NA()))</f>
        <v>0.94</v>
      </c>
      <c r="G42" s="175">
        <f ca="1">IF(B42="",NA(),IFERROR(INDEX('Financial Data Input'!$B$7:$I$66,$A42,G$6),NA()))</f>
        <v>0.87272727272727268</v>
      </c>
      <c r="K42" s="314" t="s">
        <v>110</v>
      </c>
    </row>
    <row r="43" spans="1:11" ht="19.5" customHeight="1" x14ac:dyDescent="0.25">
      <c r="A43" s="175">
        <f>ROWS($B$15:B43)</f>
        <v>29</v>
      </c>
      <c r="B43" s="175" t="str">
        <f>IF('Financial Data Input'!B35=0,"",'Financial Data Input'!B35)</f>
        <v>Sales #</v>
      </c>
      <c r="C43" s="175">
        <f ca="1">IF(B43="",NA(),IFERROR(INDEX('Financial Data Input'!$B$7:$I$66,$A43,C$6),NA()))</f>
        <v>1064559</v>
      </c>
      <c r="D43" s="175">
        <f ca="1">IF(B43="",NA(),IFERROR(INDEX('Financial Data Input'!$B$7:$I$66,$A43,D$6),NA()))</f>
        <v>1216259</v>
      </c>
      <c r="E43" s="175">
        <f ca="1">IF(B43="",NA(),IFERROR(INDEX('Financial Data Input'!$B$7:$I$66,$A43,E$6),NA()))</f>
        <v>1258413</v>
      </c>
      <c r="F43" s="175">
        <f ca="1">IF(B43="",NA(),IFERROR(INDEX('Financial Data Input'!$B$7:$I$66,$A43,F$6),NA()))</f>
        <v>1242335</v>
      </c>
      <c r="G43" s="175">
        <f ca="1">IF(B43="",NA(),IFERROR(INDEX('Financial Data Input'!$B$7:$I$66,$A43,G$6),NA()))</f>
        <v>955328</v>
      </c>
      <c r="K43" s="314" t="s">
        <v>110</v>
      </c>
    </row>
    <row r="44" spans="1:11" ht="19.5" customHeight="1" x14ac:dyDescent="0.25">
      <c r="A44" s="175">
        <f>ROWS($B$15:B44)</f>
        <v>30</v>
      </c>
      <c r="B44" s="175" t="str">
        <f>IF('Financial Data Input'!B36=0,"",'Financial Data Input'!B36)</f>
        <v>Sales $</v>
      </c>
      <c r="C44" s="175">
        <f ca="1">IF(B44="",NA(),IFERROR(INDEX('Financial Data Input'!$B$7:$I$66,$A44,C$6),NA()))</f>
        <v>13735.016200000002</v>
      </c>
      <c r="D44" s="175">
        <f ca="1">IF(B44="",NA(),IFERROR(INDEX('Financial Data Input'!$B$7:$I$66,$A44,D$6),NA()))</f>
        <v>14897.130689999996</v>
      </c>
      <c r="E44" s="175">
        <f ca="1">IF(B44="",NA(),IFERROR(INDEX('Financial Data Input'!$B$7:$I$66,$A44,E$6),NA()))</f>
        <v>17671.264090000001</v>
      </c>
      <c r="F44" s="175">
        <f ca="1">IF(B44="",NA(),IFERROR(INDEX('Financial Data Input'!$B$7:$I$66,$A44,F$6),NA()))</f>
        <v>16636.398400000005</v>
      </c>
      <c r="G44" s="175">
        <f ca="1">IF(B44="",NA(),IFERROR(INDEX('Financial Data Input'!$B$7:$I$66,$A44,G$6),NA()))</f>
        <v>13358.086080000001</v>
      </c>
      <c r="K44" s="314" t="s">
        <v>110</v>
      </c>
    </row>
    <row r="45" spans="1:11" ht="19.5" customHeight="1" x14ac:dyDescent="0.25">
      <c r="A45" s="175">
        <f>ROWS($B$15:B45)</f>
        <v>31</v>
      </c>
      <c r="B45" s="175" t="str">
        <f>IF('Financial Data Input'!B37=0,"",'Financial Data Input'!B37)</f>
        <v>Refunds #</v>
      </c>
      <c r="C45" s="175">
        <f ca="1">IF(B45="",NA(),IFERROR(INDEX('Financial Data Input'!$B$7:$I$66,$A45,C$6),NA()))</f>
        <v>1714</v>
      </c>
      <c r="D45" s="175">
        <f ca="1">IF(B45="",NA(),IFERROR(INDEX('Financial Data Input'!$B$7:$I$66,$A45,D$6),NA()))</f>
        <v>2099</v>
      </c>
      <c r="E45" s="175">
        <f ca="1">IF(B45="",NA(),IFERROR(INDEX('Financial Data Input'!$B$7:$I$66,$A45,E$6),NA()))</f>
        <v>1637</v>
      </c>
      <c r="F45" s="175">
        <f ca="1">IF(B45="",NA(),IFERROR(INDEX('Financial Data Input'!$B$7:$I$66,$A45,F$6),NA()))</f>
        <v>1344</v>
      </c>
      <c r="G45" s="175">
        <f ca="1">IF(B45="",NA(),IFERROR(INDEX('Financial Data Input'!$B$7:$I$66,$A45,G$6),NA()))</f>
        <v>6125</v>
      </c>
      <c r="K45" s="314" t="s">
        <v>110</v>
      </c>
    </row>
    <row r="46" spans="1:11" ht="19.5" customHeight="1" x14ac:dyDescent="0.25">
      <c r="A46" s="175">
        <f>ROWS($B$15:B46)</f>
        <v>32</v>
      </c>
      <c r="B46" s="175" t="str">
        <f>IF('Financial Data Input'!B38=0,"",'Financial Data Input'!B38)</f>
        <v>Refunds $</v>
      </c>
      <c r="C46" s="175">
        <f ca="1">IF(B46="",NA(),IFERROR(INDEX('Financial Data Input'!$B$7:$I$66,$A46,C$6),NA()))</f>
        <v>262.18099999999998</v>
      </c>
      <c r="D46" s="175">
        <f ca="1">IF(B46="",NA(),IFERROR(INDEX('Financial Data Input'!$B$7:$I$66,$A46,D$6),NA()))</f>
        <v>274.74182000000002</v>
      </c>
      <c r="E46" s="175">
        <f ca="1">IF(B46="",NA(),IFERROR(INDEX('Financial Data Input'!$B$7:$I$66,$A46,E$6),NA()))</f>
        <v>307.18218999999988</v>
      </c>
      <c r="F46" s="175">
        <f ca="1">IF(B46="",NA(),IFERROR(INDEX('Financial Data Input'!$B$7:$I$66,$A46,F$6),NA()))</f>
        <v>289.03195000000005</v>
      </c>
      <c r="G46" s="175">
        <f ca="1">IF(B46="",NA(),IFERROR(INDEX('Financial Data Input'!$B$7:$I$66,$A46,G$6),NA()))</f>
        <v>824.94928999999991</v>
      </c>
      <c r="K46" s="314" t="s">
        <v>110</v>
      </c>
    </row>
    <row r="47" spans="1:11" ht="19.5" customHeight="1" x14ac:dyDescent="0.25">
      <c r="A47" s="175">
        <f>ROWS($B$15:B47)</f>
        <v>33</v>
      </c>
      <c r="B47" s="175" t="str">
        <f>IF('Financial Data Input'!B39=0,"",'Financial Data Input'!B39)</f>
        <v>Authorized Users #</v>
      </c>
      <c r="C47" s="175">
        <f ca="1">IF(B47="",NA(),IFERROR(INDEX('Financial Data Input'!$B$7:$I$66,$A47,C$6),NA()))</f>
        <v>0</v>
      </c>
      <c r="D47" s="175">
        <f ca="1">IF(B47="",NA(),IFERROR(INDEX('Financial Data Input'!$B$7:$I$66,$A47,D$6),NA()))</f>
        <v>48</v>
      </c>
      <c r="E47" s="175">
        <f ca="1">IF(B47="",NA(),IFERROR(INDEX('Financial Data Input'!$B$7:$I$66,$A47,E$6),NA()))</f>
        <v>49</v>
      </c>
      <c r="F47" s="175">
        <f ca="1">IF(B47="",NA(),IFERROR(INDEX('Financial Data Input'!$B$7:$I$66,$A47,F$6),NA()))</f>
        <v>40</v>
      </c>
      <c r="G47" s="175">
        <f ca="1">IF(B47="",NA(),IFERROR(INDEX('Financial Data Input'!$B$7:$I$66,$A47,G$6),NA()))</f>
        <v>44</v>
      </c>
      <c r="K47" s="314" t="s">
        <v>110</v>
      </c>
    </row>
    <row r="48" spans="1:11" ht="19.5" customHeight="1" x14ac:dyDescent="0.25">
      <c r="A48" s="175">
        <f>ROWS($B$15:B48)</f>
        <v>34</v>
      </c>
      <c r="B48" s="175" t="str">
        <f>IF('Financial Data Input'!B40=0,"",'Financial Data Input'!B40)</f>
        <v>Users Up to Date on Training #</v>
      </c>
      <c r="C48" s="175">
        <f ca="1">IF(B48="",NA(),IFERROR(INDEX('Financial Data Input'!$B$7:$I$66,$A48,C$6),NA()))</f>
        <v>0</v>
      </c>
      <c r="D48" s="175">
        <f ca="1">IF(B48="",NA(),IFERROR(INDEX('Financial Data Input'!$B$7:$I$66,$A48,D$6),NA()))</f>
        <v>21</v>
      </c>
      <c r="E48" s="175">
        <f ca="1">IF(B48="",NA(),IFERROR(INDEX('Financial Data Input'!$B$7:$I$66,$A48,E$6),NA()))</f>
        <v>23</v>
      </c>
      <c r="F48" s="175">
        <f ca="1">IF(B48="",NA(),IFERROR(INDEX('Financial Data Input'!$B$7:$I$66,$A48,F$6),NA()))</f>
        <v>20</v>
      </c>
      <c r="G48" s="175">
        <f ca="1">IF(B48="",NA(),IFERROR(INDEX('Financial Data Input'!$B$7:$I$66,$A48,G$6),NA()))</f>
        <v>40</v>
      </c>
      <c r="K48" s="314" t="s">
        <v>110</v>
      </c>
    </row>
    <row r="49" spans="1:11" ht="19.5" customHeight="1" x14ac:dyDescent="0.25">
      <c r="A49" s="175">
        <f>ROWS($B$15:B49)</f>
        <v>35</v>
      </c>
      <c r="B49" s="175" t="str">
        <f>IF('Financial Data Input'!B41=0,"",'Financial Data Input'!B41)</f>
        <v>Users Up to Date on Training %</v>
      </c>
      <c r="C49" s="175">
        <f ca="1">IF(B49="",NA(),IFERROR(INDEX('Financial Data Input'!$B$7:$I$66,$A49,C$6),NA()))</f>
        <v>0</v>
      </c>
      <c r="D49" s="175">
        <f ca="1">IF(B49="",NA(),IFERROR(INDEX('Financial Data Input'!$B$7:$I$66,$A49,D$6),NA()))</f>
        <v>0.4375</v>
      </c>
      <c r="E49" s="175">
        <f ca="1">IF(B49="",NA(),IFERROR(INDEX('Financial Data Input'!$B$7:$I$66,$A49,E$6),NA()))</f>
        <v>0.46938775510204084</v>
      </c>
      <c r="F49" s="175">
        <f ca="1">IF(B49="",NA(),IFERROR(INDEX('Financial Data Input'!$B$7:$I$66,$A49,F$6),NA()))</f>
        <v>0.5</v>
      </c>
      <c r="G49" s="175">
        <f ca="1">IF(B49="",NA(),IFERROR(INDEX('Financial Data Input'!$B$7:$I$66,$A49,G$6),NA()))</f>
        <v>0.90909090909090906</v>
      </c>
      <c r="K49" s="314" t="s">
        <v>110</v>
      </c>
    </row>
    <row r="50" spans="1:11" ht="19.5" customHeight="1" x14ac:dyDescent="0.25">
      <c r="A50" s="175">
        <f>ROWS($B$15:B50)</f>
        <v>36</v>
      </c>
      <c r="B50" s="175" t="str">
        <f>IF('Financial Data Input'!B42=0,"",'Financial Data Input'!B42)</f>
        <v>Final Approvers #</v>
      </c>
      <c r="C50" s="175">
        <f ca="1">IF(B50="",NA(),IFERROR(INDEX('Financial Data Input'!$B$7:$I$66,$A50,C$6),NA()))</f>
        <v>0</v>
      </c>
      <c r="D50" s="175">
        <f ca="1">IF(B50="",NA(),IFERROR(INDEX('Financial Data Input'!$B$7:$I$66,$A50,D$6),NA()))</f>
        <v>99</v>
      </c>
      <c r="E50" s="175">
        <f ca="1">IF(B50="",NA(),IFERROR(INDEX('Financial Data Input'!$B$7:$I$66,$A50,E$6),NA()))</f>
        <v>107</v>
      </c>
      <c r="F50" s="175">
        <f ca="1">IF(B50="",NA(),IFERROR(INDEX('Financial Data Input'!$B$7:$I$66,$A50,F$6),NA()))</f>
        <v>120</v>
      </c>
      <c r="G50" s="175">
        <f ca="1">IF(B50="",NA(),IFERROR(INDEX('Financial Data Input'!$B$7:$I$66,$A50,G$6),NA()))</f>
        <v>114</v>
      </c>
      <c r="K50" s="240" t="s">
        <v>393</v>
      </c>
    </row>
    <row r="51" spans="1:11" ht="19.5" customHeight="1" x14ac:dyDescent="0.25">
      <c r="A51" s="175">
        <f>ROWS($B$15:B51)</f>
        <v>37</v>
      </c>
      <c r="B51" s="175" t="str">
        <f>IF('Financial Data Input'!B43=0,"",'Financial Data Input'!B43)</f>
        <v>Final Approvers Up to Date on Training #</v>
      </c>
      <c r="C51" s="175">
        <f ca="1">IF(B51="",NA(),IFERROR(INDEX('Financial Data Input'!$B$7:$I$66,$A51,C$6),NA()))</f>
        <v>0</v>
      </c>
      <c r="D51" s="175">
        <f ca="1">IF(B51="",NA(),IFERROR(INDEX('Financial Data Input'!$B$7:$I$66,$A51,D$6),NA()))</f>
        <v>28</v>
      </c>
      <c r="E51" s="175">
        <f ca="1">IF(B51="",NA(),IFERROR(INDEX('Financial Data Input'!$B$7:$I$66,$A51,E$6),NA()))</f>
        <v>83</v>
      </c>
      <c r="F51" s="175">
        <f ca="1">IF(B51="",NA(),IFERROR(INDEX('Financial Data Input'!$B$7:$I$66,$A51,F$6),NA()))</f>
        <v>113</v>
      </c>
      <c r="G51" s="175">
        <f ca="1">IF(B51="",NA(),IFERROR(INDEX('Financial Data Input'!$B$7:$I$66,$A51,G$6),NA()))</f>
        <v>103</v>
      </c>
      <c r="K51" s="240" t="s">
        <v>393</v>
      </c>
    </row>
    <row r="52" spans="1:11" ht="19.5" customHeight="1" x14ac:dyDescent="0.25">
      <c r="A52" s="175">
        <f>ROWS($B$15:B52)</f>
        <v>38</v>
      </c>
      <c r="B52" s="175" t="str">
        <f>IF('Financial Data Input'!B44=0,"",'Financial Data Input'!B44)</f>
        <v>Final Approvers Up to Date on Training %</v>
      </c>
      <c r="C52" s="175">
        <f ca="1">IF(B52="",NA(),IFERROR(INDEX('Financial Data Input'!$B$7:$I$66,$A52,C$6),NA()))</f>
        <v>0</v>
      </c>
      <c r="D52" s="175">
        <f ca="1">IF(B52="",NA(),IFERROR(INDEX('Financial Data Input'!$B$7:$I$66,$A52,D$6),NA()))</f>
        <v>0.28282828282828282</v>
      </c>
      <c r="E52" s="175">
        <f ca="1">IF(B52="",NA(),IFERROR(INDEX('Financial Data Input'!$B$7:$I$66,$A52,E$6),NA()))</f>
        <v>0.77570093457943923</v>
      </c>
      <c r="F52" s="175">
        <f ca="1">IF(B52="",NA(),IFERROR(INDEX('Financial Data Input'!$B$7:$I$66,$A52,F$6),NA()))</f>
        <v>0.94166666666666665</v>
      </c>
      <c r="G52" s="175">
        <f ca="1">IF(B52="",NA(),IFERROR(INDEX('Financial Data Input'!$B$7:$I$66,$A52,G$6),NA()))</f>
        <v>0.90350877192982459</v>
      </c>
      <c r="K52" s="240" t="s">
        <v>393</v>
      </c>
    </row>
    <row r="53" spans="1:11" ht="19.5" customHeight="1" x14ac:dyDescent="0.25">
      <c r="A53" s="175">
        <f>ROWS($B$15:B53)</f>
        <v>39</v>
      </c>
      <c r="B53" s="175" t="str">
        <f>IF('Financial Data Input'!B45=0,"",'Financial Data Input'!B45)</f>
        <v>Gift Fund Balance $</v>
      </c>
      <c r="C53" s="175">
        <f ca="1">IF(B53="",NA(),IFERROR(INDEX('Financial Data Input'!$B$7:$I$66,$A53,C$6),NA()))</f>
        <v>4844.3669300000001</v>
      </c>
      <c r="D53" s="175">
        <f ca="1">IF(B53="",NA(),IFERROR(INDEX('Financial Data Input'!$B$7:$I$66,$A53,D$6),NA()))</f>
        <v>4684.5336099999995</v>
      </c>
      <c r="E53" s="175">
        <f ca="1">IF(B53="",NA(),IFERROR(INDEX('Financial Data Input'!$B$7:$I$66,$A53,E$6),NA()))</f>
        <v>5550.7911799999993</v>
      </c>
      <c r="F53" s="175">
        <f ca="1">IF(B53="",NA(),IFERROR(INDEX('Financial Data Input'!$B$7:$I$66,$A53,F$6),NA()))</f>
        <v>6708.4428999999973</v>
      </c>
      <c r="G53" s="175">
        <f ca="1">IF(B53="",NA(),IFERROR(INDEX('Financial Data Input'!$B$7:$I$66,$A53,G$6),NA()))</f>
        <v>8041.8177400000022</v>
      </c>
      <c r="K53" s="314" t="s">
        <v>98</v>
      </c>
    </row>
    <row r="54" spans="1:11" ht="19.5" customHeight="1" x14ac:dyDescent="0.25">
      <c r="A54" s="175">
        <f>ROWS($B$15:B54)</f>
        <v>40</v>
      </c>
      <c r="B54" s="175" t="str">
        <f>IF('Financial Data Input'!B46=0,"",'Financial Data Input'!B46)</f>
        <v>No Expenses &gt; 5 years #</v>
      </c>
      <c r="C54" s="175">
        <f ca="1">IF(B54="",NA(),IFERROR(INDEX('Financial Data Input'!$B$7:$I$66,$A54,C$6),NA()))</f>
        <v>58</v>
      </c>
      <c r="D54" s="175">
        <f ca="1">IF(B54="",NA(),IFERROR(INDEX('Financial Data Input'!$B$7:$I$66,$A54,D$6),NA()))</f>
        <v>62</v>
      </c>
      <c r="E54" s="175">
        <f ca="1">IF(B54="",NA(),IFERROR(INDEX('Financial Data Input'!$B$7:$I$66,$A54,E$6),NA()))</f>
        <v>24</v>
      </c>
      <c r="F54" s="175">
        <f ca="1">IF(B54="",NA(),IFERROR(INDEX('Financial Data Input'!$B$7:$I$66,$A54,F$6),NA()))</f>
        <v>59</v>
      </c>
      <c r="G54" s="175">
        <f ca="1">IF(B54="",NA(),IFERROR(INDEX('Financial Data Input'!$B$7:$I$66,$A54,G$6),NA()))</f>
        <v>47</v>
      </c>
      <c r="K54" s="314" t="s">
        <v>98</v>
      </c>
    </row>
    <row r="55" spans="1:11" ht="19.5" customHeight="1" x14ac:dyDescent="0.25">
      <c r="A55" s="175">
        <f>ROWS($B$15:B55)</f>
        <v>41</v>
      </c>
      <c r="B55" s="175" t="str">
        <f>IF('Financial Data Input'!B47=0,"",'Financial Data Input'!B47)</f>
        <v>No Expenses &gt; 5 years Balance $</v>
      </c>
      <c r="C55" s="175">
        <f ca="1">IF(B55="",NA(),IFERROR(INDEX('Financial Data Input'!$B$7:$I$66,$A55,C$6),NA()))</f>
        <v>522.13454999999999</v>
      </c>
      <c r="D55" s="175">
        <f ca="1">IF(B55="",NA(),IFERROR(INDEX('Financial Data Input'!$B$7:$I$66,$A55,D$6),NA()))</f>
        <v>193.32572999999999</v>
      </c>
      <c r="E55" s="175">
        <f ca="1">IF(B55="",NA(),IFERROR(INDEX('Financial Data Input'!$B$7:$I$66,$A55,E$6),NA()))</f>
        <v>214.76788999999997</v>
      </c>
      <c r="F55" s="175">
        <f ca="1">IF(B55="",NA(),IFERROR(INDEX('Financial Data Input'!$B$7:$I$66,$A55,F$6),NA()))</f>
        <v>498.36478999999997</v>
      </c>
      <c r="G55" s="175">
        <f ca="1">IF(B55="",NA(),IFERROR(INDEX('Financial Data Input'!$B$7:$I$66,$A55,G$6),NA()))</f>
        <v>466.57511999999997</v>
      </c>
      <c r="K55" s="314" t="s">
        <v>98</v>
      </c>
    </row>
    <row r="56" spans="1:11" ht="19.5" customHeight="1" x14ac:dyDescent="0.25">
      <c r="A56" s="175">
        <f>ROWS($B$15:B56)</f>
        <v>42</v>
      </c>
      <c r="B56" s="175" t="str">
        <f>IF('Financial Data Input'!B48=0,"",'Financial Data Input'!B48)</f>
        <v>Total Disbursed $</v>
      </c>
      <c r="C56" s="175">
        <f ca="1">IF(B56="",NA(),IFERROR(INDEX('Financial Data Input'!$B$7:$I$66,$A56,C$6),NA()))</f>
        <v>285.02199999999999</v>
      </c>
      <c r="D56" s="175">
        <f ca="1">IF(B56="",NA(),IFERROR(INDEX('Financial Data Input'!$B$7:$I$66,$A56,D$6),NA()))</f>
        <v>394.24200000000002</v>
      </c>
      <c r="E56" s="175">
        <f ca="1">IF(B56="",NA(),IFERROR(INDEX('Financial Data Input'!$B$7:$I$66,$A56,E$6),NA()))</f>
        <v>543.87699999999995</v>
      </c>
      <c r="F56" s="175">
        <f ca="1">IF(B56="",NA(),IFERROR(INDEX('Financial Data Input'!$B$7:$I$66,$A56,F$6),NA()))</f>
        <v>873.82168000000001</v>
      </c>
      <c r="G56" s="175">
        <f ca="1">IF(B56="",NA(),IFERROR(INDEX('Financial Data Input'!$B$7:$I$66,$A56,G$6),NA()))</f>
        <v>1018.1214000000002</v>
      </c>
      <c r="K56" s="240" t="s">
        <v>417</v>
      </c>
    </row>
    <row r="57" spans="1:11" ht="19.5" customHeight="1" x14ac:dyDescent="0.25">
      <c r="A57" s="175">
        <f>ROWS($B$15:B57)</f>
        <v>43</v>
      </c>
      <c r="B57" s="175" t="str">
        <f>IF('Financial Data Input'!B49=0,"",'Financial Data Input'!B49)</f>
        <v>Overrides $</v>
      </c>
      <c r="C57" s="175">
        <f ca="1">IF(B57="",NA(),IFERROR(INDEX('Financial Data Input'!$B$7:$I$66,$A57,C$6),NA()))</f>
        <v>65.748000000000005</v>
      </c>
      <c r="D57" s="175">
        <f ca="1">IF(B57="",NA(),IFERROR(INDEX('Financial Data Input'!$B$7:$I$66,$A57,D$6),NA()))</f>
        <v>36.606999999999999</v>
      </c>
      <c r="E57" s="175">
        <f ca="1">IF(B57="",NA(),IFERROR(INDEX('Financial Data Input'!$B$7:$I$66,$A57,E$6),NA()))</f>
        <v>46.814999999999998</v>
      </c>
      <c r="F57" s="175">
        <f ca="1">IF(B57="",NA(),IFERROR(INDEX('Financial Data Input'!$B$7:$I$66,$A57,F$6),NA()))</f>
        <v>187.90199999999999</v>
      </c>
      <c r="G57" s="175">
        <f ca="1">IF(B57="",NA(),IFERROR(INDEX('Financial Data Input'!$B$7:$I$66,$A57,G$6),NA()))</f>
        <v>339.00960000000003</v>
      </c>
      <c r="K57" s="240" t="s">
        <v>417</v>
      </c>
    </row>
    <row r="58" spans="1:11" ht="19.5" customHeight="1" x14ac:dyDescent="0.25">
      <c r="A58" s="175">
        <f>ROWS($B$15:B58)</f>
        <v>44</v>
      </c>
      <c r="B58" s="175" t="str">
        <f>IF('Financial Data Input'!B50=0,"",'Financial Data Input'!B50)</f>
        <v>Overrides %</v>
      </c>
      <c r="C58" s="175">
        <f ca="1">IF(B58="",NA(),IFERROR(INDEX('Financial Data Input'!$B$7:$I$66,$A58,C$6),NA()))</f>
        <v>0.23067693020187915</v>
      </c>
      <c r="D58" s="175">
        <f ca="1">IF(B58="",NA(),IFERROR(INDEX('Financial Data Input'!$B$7:$I$66,$A58,D$6),NA()))</f>
        <v>9.2854135277316979E-2</v>
      </c>
      <c r="E58" s="175">
        <f ca="1">IF(B58="",NA(),IFERROR(INDEX('Financial Data Input'!$B$7:$I$66,$A58,E$6),NA()))</f>
        <v>8.607644743204805E-2</v>
      </c>
      <c r="F58" s="175">
        <f ca="1">IF(B58="",NA(),IFERROR(INDEX('Financial Data Input'!$B$7:$I$66,$A58,F$6),NA()))</f>
        <v>0.21503471966957835</v>
      </c>
      <c r="G58" s="175">
        <f ca="1">IF(B58="",NA(),IFERROR(INDEX('Financial Data Input'!$B$7:$I$66,$A58,G$6),NA()))</f>
        <v>0.33297561567805173</v>
      </c>
      <c r="K58" s="240" t="s">
        <v>417</v>
      </c>
    </row>
    <row r="59" spans="1:11" ht="19.5" customHeight="1" x14ac:dyDescent="0.25">
      <c r="A59" s="175">
        <f>ROWS($B$15:B59)</f>
        <v>45</v>
      </c>
      <c r="B59" s="175" t="str">
        <f>IF('Financial Data Input'!B51=0,"",'Financial Data Input'!B51)</f>
        <v>No Disbursement Rules Applied (DR4) $</v>
      </c>
      <c r="C59" s="175">
        <f ca="1">IF(B59="",NA(),IFERROR(INDEX('Financial Data Input'!$B$7:$I$66,$A59,C$6),NA()))</f>
        <v>81.319999999999993</v>
      </c>
      <c r="D59" s="175">
        <f ca="1">IF(B59="",NA(),IFERROR(INDEX('Financial Data Input'!$B$7:$I$66,$A59,D$6),NA()))</f>
        <v>110.842</v>
      </c>
      <c r="E59" s="175">
        <f ca="1">IF(B59="",NA(),IFERROR(INDEX('Financial Data Input'!$B$7:$I$66,$A59,E$6),NA()))</f>
        <v>170.70400000000001</v>
      </c>
      <c r="F59" s="175">
        <f ca="1">IF(B59="",NA(),IFERROR(INDEX('Financial Data Input'!$B$7:$I$66,$A59,F$6),NA()))</f>
        <v>217.101</v>
      </c>
      <c r="G59" s="175">
        <f ca="1">IF(B59="",NA(),IFERROR(INDEX('Financial Data Input'!$B$7:$I$66,$A59,G$6),NA()))</f>
        <v>250.05159</v>
      </c>
      <c r="K59" s="240" t="s">
        <v>417</v>
      </c>
    </row>
    <row r="60" spans="1:11" ht="19.5" customHeight="1" x14ac:dyDescent="0.25">
      <c r="A60" s="175">
        <f>ROWS($B$15:B60)</f>
        <v>46</v>
      </c>
      <c r="B60" s="175" t="str">
        <f>IF('Financial Data Input'!B52=0,"",'Financial Data Input'!B52)</f>
        <v>No Disbursement Rules Applied (DR4) %</v>
      </c>
      <c r="C60" s="175">
        <f ca="1">IF(B60="",NA(),IFERROR(INDEX('Financial Data Input'!$B$7:$I$66,$A60,C$6),NA()))</f>
        <v>0.28531130930243981</v>
      </c>
      <c r="D60" s="175">
        <f ca="1">IF(B60="",NA(),IFERROR(INDEX('Financial Data Input'!$B$7:$I$66,$A60,D$6),NA()))</f>
        <v>0.28115218571334361</v>
      </c>
      <c r="E60" s="175">
        <f ca="1">IF(B60="",NA(),IFERROR(INDEX('Financial Data Input'!$B$7:$I$66,$A60,E$6),NA()))</f>
        <v>0.31386508346556297</v>
      </c>
      <c r="F60" s="175">
        <f ca="1">IF(B60="",NA(),IFERROR(INDEX('Financial Data Input'!$B$7:$I$66,$A60,F$6),NA()))</f>
        <v>0.24845000412441126</v>
      </c>
      <c r="G60" s="175">
        <f ca="1">IF(B60="",NA(),IFERROR(INDEX('Financial Data Input'!$B$7:$I$66,$A60,G$6),NA()))</f>
        <v>0.24560095682106273</v>
      </c>
      <c r="K60" s="240" t="s">
        <v>417</v>
      </c>
    </row>
    <row r="61" spans="1:11" ht="19.5" customHeight="1" x14ac:dyDescent="0.25">
      <c r="A61" s="175">
        <f>ROWS($B$15:B61)</f>
        <v>47</v>
      </c>
      <c r="B61" s="175" t="str">
        <f>IF('Financial Data Input'!B53=0,"",'Financial Data Input'!B53)</f>
        <v>Non Traditional Students #</v>
      </c>
      <c r="C61" s="175">
        <f ca="1">IF(B61="",NA(),IFERROR(INDEX('Financial Data Input'!$B$7:$I$66,$A61,C$6),NA()))</f>
        <v>2</v>
      </c>
      <c r="D61" s="175">
        <f ca="1">IF(B61="",NA(),IFERROR(INDEX('Financial Data Input'!$B$7:$I$66,$A61,D$6),NA()))</f>
        <v>1</v>
      </c>
      <c r="E61" s="175">
        <f ca="1">IF(B61="",NA(),IFERROR(INDEX('Financial Data Input'!$B$7:$I$66,$A61,E$6),NA()))</f>
        <v>4</v>
      </c>
      <c r="F61" s="175">
        <f ca="1">IF(B61="",NA(),IFERROR(INDEX('Financial Data Input'!$B$7:$I$66,$A61,F$6),NA()))</f>
        <v>0</v>
      </c>
      <c r="G61" s="175">
        <f ca="1">IF(B61="",NA(),IFERROR(INDEX('Financial Data Input'!$B$7:$I$66,$A61,G$6),NA()))</f>
        <v>0</v>
      </c>
      <c r="K61" s="240" t="s">
        <v>417</v>
      </c>
    </row>
    <row r="62" spans="1:11" ht="19.5" customHeight="1" x14ac:dyDescent="0.25">
      <c r="A62" s="175">
        <f>ROWS($B$15:B62)</f>
        <v>48</v>
      </c>
      <c r="B62" s="175" t="str">
        <f>IF('Financial Data Input'!B54=0,"",'Financial Data Input'!B54)</f>
        <v>Non Traditional Students $</v>
      </c>
      <c r="C62" s="175">
        <f ca="1">IF(B62="",NA(),IFERROR(INDEX('Financial Data Input'!$B$7:$I$66,$A62,C$6),NA()))</f>
        <v>8.8000000000000007</v>
      </c>
      <c r="D62" s="175">
        <f ca="1">IF(B62="",NA(),IFERROR(INDEX('Financial Data Input'!$B$7:$I$66,$A62,D$6),NA()))</f>
        <v>1</v>
      </c>
      <c r="E62" s="175">
        <f ca="1">IF(B62="",NA(),IFERROR(INDEX('Financial Data Input'!$B$7:$I$66,$A62,E$6),NA()))</f>
        <v>4.3129999999999997</v>
      </c>
      <c r="F62" s="175">
        <f ca="1">IF(B62="",NA(),IFERROR(INDEX('Financial Data Input'!$B$7:$I$66,$A62,F$6),NA()))</f>
        <v>0</v>
      </c>
      <c r="G62" s="175">
        <f ca="1">IF(B62="",NA(),IFERROR(INDEX('Financial Data Input'!$B$7:$I$66,$A62,G$6),NA()))</f>
        <v>0</v>
      </c>
      <c r="K62" s="240" t="s">
        <v>417</v>
      </c>
    </row>
    <row r="63" spans="1:11" ht="19.5" customHeight="1" x14ac:dyDescent="0.25">
      <c r="A63" s="175">
        <f>ROWS($B$15:B63)</f>
        <v>49</v>
      </c>
      <c r="B63" s="175" t="str">
        <f>IF('Financial Data Input'!B55=0,"",'Financial Data Input'!B55)</f>
        <v>Total Assets #</v>
      </c>
      <c r="C63" s="175">
        <f ca="1">IF(B63="",NA(),IFERROR(INDEX('Financial Data Input'!$B$7:$I$66,$A63,C$6),NA()))</f>
        <v>0</v>
      </c>
      <c r="D63" s="175">
        <f ca="1">IF(B63="",NA(),IFERROR(INDEX('Financial Data Input'!$B$7:$I$66,$A63,D$6),NA()))</f>
        <v>414</v>
      </c>
      <c r="E63" s="175">
        <f ca="1">IF(B63="",NA(),IFERROR(INDEX('Financial Data Input'!$B$7:$I$66,$A63,E$6),NA()))</f>
        <v>459</v>
      </c>
      <c r="F63" s="175">
        <f ca="1">IF(B63="",NA(),IFERROR(INDEX('Financial Data Input'!$B$7:$I$66,$A63,F$6),NA()))</f>
        <v>502</v>
      </c>
      <c r="G63" s="175">
        <f ca="1">IF(B63="",NA(),IFERROR(INDEX('Financial Data Input'!$B$7:$I$66,$A63,G$6),NA()))</f>
        <v>644</v>
      </c>
      <c r="K63" s="314" t="s">
        <v>418</v>
      </c>
    </row>
    <row r="64" spans="1:11" ht="19.5" customHeight="1" x14ac:dyDescent="0.25">
      <c r="A64" s="175">
        <f>ROWS($B$15:B64)</f>
        <v>50</v>
      </c>
      <c r="B64" s="175" t="str">
        <f>IF('Financial Data Input'!B56=0,"",'Financial Data Input'!B56)</f>
        <v>Blank Custodians #</v>
      </c>
      <c r="C64" s="175">
        <f ca="1">IF(B64="",NA(),IFERROR(INDEX('Financial Data Input'!$B$7:$I$66,$A64,C$6),NA()))</f>
        <v>0</v>
      </c>
      <c r="D64" s="175">
        <f ca="1">IF(B64="",NA(),IFERROR(INDEX('Financial Data Input'!$B$7:$I$66,$A64,D$6),NA()))</f>
        <v>0</v>
      </c>
      <c r="E64" s="175">
        <f ca="1">IF(B64="",NA(),IFERROR(INDEX('Financial Data Input'!$B$7:$I$66,$A64,E$6),NA()))</f>
        <v>129</v>
      </c>
      <c r="F64" s="175">
        <f ca="1">IF(B64="",NA(),IFERROR(INDEX('Financial Data Input'!$B$7:$I$66,$A64,F$6),NA()))</f>
        <v>128</v>
      </c>
      <c r="G64" s="175">
        <f ca="1">IF(B64="",NA(),IFERROR(INDEX('Financial Data Input'!$B$7:$I$66,$A64,G$6),NA()))</f>
        <v>74</v>
      </c>
      <c r="K64" s="314" t="s">
        <v>418</v>
      </c>
    </row>
    <row r="65" spans="1:11" ht="19.5" customHeight="1" x14ac:dyDescent="0.25">
      <c r="A65" s="175">
        <f>ROWS($B$15:B65)</f>
        <v>51</v>
      </c>
      <c r="B65" s="175" t="str">
        <f>IF('Financial Data Input'!B57=0,"",'Financial Data Input'!B57)</f>
        <v>Blank Custodians %</v>
      </c>
      <c r="C65" s="175">
        <f ca="1">IF(B65="",NA(),IFERROR(INDEX('Financial Data Input'!$B$7:$I$66,$A65,C$6),NA()))</f>
        <v>0</v>
      </c>
      <c r="D65" s="175">
        <f ca="1">IF(B65="",NA(),IFERROR(INDEX('Financial Data Input'!$B$7:$I$66,$A65,D$6),NA()))</f>
        <v>0</v>
      </c>
      <c r="E65" s="175">
        <f ca="1">IF(B65="",NA(),IFERROR(INDEX('Financial Data Input'!$B$7:$I$66,$A65,E$6),NA()))</f>
        <v>0.28104575163398693</v>
      </c>
      <c r="F65" s="175">
        <f ca="1">IF(B65="",NA(),IFERROR(INDEX('Financial Data Input'!$B$7:$I$66,$A65,F$6),NA()))</f>
        <v>0.2549800796812749</v>
      </c>
      <c r="G65" s="175">
        <f ca="1">IF(B65="",NA(),IFERROR(INDEX('Financial Data Input'!$B$7:$I$66,$A65,G$6),NA()))</f>
        <v>0.11490683229813664</v>
      </c>
      <c r="K65" s="314" t="s">
        <v>418</v>
      </c>
    </row>
    <row r="66" spans="1:11" ht="19.5" customHeight="1" x14ac:dyDescent="0.25">
      <c r="A66" s="175">
        <f>ROWS($B$15:B66)</f>
        <v>52</v>
      </c>
      <c r="B66" s="175" t="str">
        <f>IF('Financial Data Input'!B58=0,"",'Financial Data Input'!B58)</f>
        <v>Total Assets #</v>
      </c>
      <c r="C66" s="175">
        <f ca="1">IF(B66="",NA(),IFERROR(INDEX('Financial Data Input'!$B$7:$I$66,$A66,C$6),NA()))</f>
        <v>0</v>
      </c>
      <c r="D66" s="175">
        <f ca="1">IF(B66="",NA(),IFERROR(INDEX('Financial Data Input'!$B$7:$I$66,$A66,D$6),NA()))</f>
        <v>0</v>
      </c>
      <c r="E66" s="175">
        <f ca="1">IF(B66="",NA(),IFERROR(INDEX('Financial Data Input'!$B$7:$I$66,$A66,E$6),NA()))</f>
        <v>0</v>
      </c>
      <c r="F66" s="175">
        <f ca="1">IF(B66="",NA(),IFERROR(INDEX('Financial Data Input'!$B$7:$I$66,$A66,F$6),NA()))</f>
        <v>0</v>
      </c>
      <c r="G66" s="175">
        <f ca="1">IF(B66="",NA(),IFERROR(INDEX('Financial Data Input'!$B$7:$I$66,$A66,G$6),NA()))</f>
        <v>0</v>
      </c>
      <c r="K66" s="240" t="s">
        <v>419</v>
      </c>
    </row>
    <row r="67" spans="1:11" ht="19.5" customHeight="1" x14ac:dyDescent="0.25">
      <c r="A67" s="175">
        <f>ROWS($B$15:B67)</f>
        <v>53</v>
      </c>
      <c r="B67" s="175" t="str">
        <f>IF('Financial Data Input'!B59=0,"",'Financial Data Input'!B59)</f>
        <v>% of Total Assets</v>
      </c>
      <c r="C67" s="175">
        <f ca="1">IF(B67="",NA(),IFERROR(INDEX('Financial Data Input'!$B$7:$I$66,$A67,C$6),NA()))</f>
        <v>0</v>
      </c>
      <c r="D67" s="175">
        <f ca="1">IF(B67="",NA(),IFERROR(INDEX('Financial Data Input'!$B$7:$I$66,$A67,D$6),NA()))</f>
        <v>0</v>
      </c>
      <c r="E67" s="175">
        <f ca="1">IF(B67="",NA(),IFERROR(INDEX('Financial Data Input'!$B$7:$I$66,$A67,E$6),NA()))</f>
        <v>0</v>
      </c>
      <c r="F67" s="175">
        <f ca="1">IF(B67="",NA(),IFERROR(INDEX('Financial Data Input'!$B$7:$I$66,$A67,F$6),NA()))</f>
        <v>0</v>
      </c>
      <c r="G67" s="175">
        <f ca="1">IF(B67="",NA(),IFERROR(INDEX('Financial Data Input'!$B$7:$I$66,$A67,G$6),NA()))</f>
        <v>0</v>
      </c>
      <c r="K67" s="240" t="s">
        <v>419</v>
      </c>
    </row>
    <row r="68" spans="1:11" ht="19.5" customHeight="1" x14ac:dyDescent="0.25">
      <c r="A68" s="175">
        <f>ROWS($B$15:B68)</f>
        <v>54</v>
      </c>
      <c r="B68" s="175" t="str">
        <f>IF('Financial Data Input'!B60=0,"",'Financial Data Input'!B60)</f>
        <v>Travel &amp; Expense Spend</v>
      </c>
      <c r="C68" s="175">
        <f ca="1">IF(B68="",NA(),IFERROR(INDEX('Financial Data Input'!$B$7:$I$66,$A68,C$6),NA()))</f>
        <v>2561.0547499999861</v>
      </c>
      <c r="D68" s="175">
        <f ca="1">IF(B68="",NA(),IFERROR(INDEX('Financial Data Input'!$B$7:$I$66,$A68,D$6),NA()))</f>
        <v>2355.9294599999926</v>
      </c>
      <c r="E68" s="175">
        <f ca="1">IF(B68="",NA(),IFERROR(INDEX('Financial Data Input'!$B$7:$I$66,$A68,E$6),NA()))</f>
        <v>2297.8123699999928</v>
      </c>
      <c r="F68" s="175">
        <f ca="1">IF(B68="",NA(),IFERROR(INDEX('Financial Data Input'!$B$7:$I$66,$A68,F$6),NA()))</f>
        <v>2481.8450999999955</v>
      </c>
      <c r="G68" s="175">
        <f ca="1">IF(B68="",NA(),IFERROR(INDEX('Financial Data Input'!$B$7:$I$66,$A68,G$6),NA()))</f>
        <v>1686.6659099999938</v>
      </c>
      <c r="K68" s="314" t="s">
        <v>349</v>
      </c>
    </row>
    <row r="69" spans="1:11" ht="19.5" customHeight="1" x14ac:dyDescent="0.25">
      <c r="A69" s="175">
        <f>ROWS($B$15:B69)</f>
        <v>55</v>
      </c>
      <c r="B69" s="175" t="str">
        <f>IF('Financial Data Input'!B61=0,"",'Financial Data Input'!B61)</f>
        <v>Travel Spend</v>
      </c>
      <c r="C69" s="175">
        <f ca="1">IF(B69="",NA(),IFERROR(INDEX('Financial Data Input'!$B$7:$I$66,$A69,C$6),NA()))</f>
        <v>1312.1467699999926</v>
      </c>
      <c r="D69" s="175">
        <f ca="1">IF(B69="",NA(),IFERROR(INDEX('Financial Data Input'!$B$7:$I$66,$A69,D$6),NA()))</f>
        <v>1059.3147400000005</v>
      </c>
      <c r="E69" s="175">
        <f ca="1">IF(B69="",NA(),IFERROR(INDEX('Financial Data Input'!$B$7:$I$66,$A69,E$6),NA()))</f>
        <v>1167.5200799999993</v>
      </c>
      <c r="F69" s="175">
        <f ca="1">IF(B69="",NA(),IFERROR(INDEX('Financial Data Input'!$B$7:$I$66,$A69,F$6),NA()))</f>
        <v>1449.6748600000005</v>
      </c>
      <c r="G69" s="175">
        <f ca="1">IF(B69="",NA(),IFERROR(INDEX('Financial Data Input'!$B$7:$I$66,$A69,G$6),NA()))</f>
        <v>949.49979999999846</v>
      </c>
      <c r="K69" s="314" t="s">
        <v>349</v>
      </c>
    </row>
    <row r="70" spans="1:11" ht="19.5" customHeight="1" x14ac:dyDescent="0.25">
      <c r="A70" s="175">
        <f>ROWS($B$15:B70)</f>
        <v>56</v>
      </c>
      <c r="B70" s="175" t="str">
        <f>IF('Financial Data Input'!B62=0,"",'Financial Data Input'!B62)</f>
        <v>Other Spend</v>
      </c>
      <c r="C70" s="175">
        <f ca="1">IF(B70="",NA(),IFERROR(INDEX('Financial Data Input'!$B$7:$I$66,$A70,C$6),NA()))</f>
        <v>1248.9079799999934</v>
      </c>
      <c r="D70" s="175">
        <f ca="1">IF(B70="",NA(),IFERROR(INDEX('Financial Data Input'!$B$7:$I$66,$A70,D$6),NA()))</f>
        <v>1296.6147199999923</v>
      </c>
      <c r="E70" s="175">
        <f ca="1">IF(B70="",NA(),IFERROR(INDEX('Financial Data Input'!$B$7:$I$66,$A70,E$6),NA()))</f>
        <v>1130.292289999993</v>
      </c>
      <c r="F70" s="175">
        <f ca="1">IF(B70="",NA(),IFERROR(INDEX('Financial Data Input'!$B$7:$I$66,$A70,F$6),NA()))</f>
        <v>1032.1702399999949</v>
      </c>
      <c r="G70" s="175">
        <f ca="1">IF(B70="",NA(),IFERROR(INDEX('Financial Data Input'!$B$7:$I$66,$A70,G$6),NA()))</f>
        <v>737.16610999999546</v>
      </c>
      <c r="K70" s="314" t="s">
        <v>349</v>
      </c>
    </row>
    <row r="71" spans="1:11" ht="19.5" customHeight="1" x14ac:dyDescent="0.25">
      <c r="A71" s="175">
        <f>ROWS($B$15:B71)</f>
        <v>57</v>
      </c>
      <c r="B71" s="175" t="str">
        <f>IF('Financial Data Input'!B63=0,"",'Financial Data Input'!B63)</f>
        <v>Unused Metric</v>
      </c>
      <c r="C71" s="175">
        <f ca="1">IF(B71="",NA(),IFERROR(INDEX('Financial Data Input'!$B$7:$I$66,$A71,C$6),NA()))</f>
        <v>0</v>
      </c>
      <c r="D71" s="175">
        <f ca="1">IF(B71="",NA(),IFERROR(INDEX('Financial Data Input'!$B$7:$I$66,$A71,D$6),NA()))</f>
        <v>0</v>
      </c>
      <c r="E71" s="175">
        <f ca="1">IF(B71="",NA(),IFERROR(INDEX('Financial Data Input'!$B$7:$I$66,$A71,E$6),NA()))</f>
        <v>0</v>
      </c>
      <c r="F71" s="175">
        <f ca="1">IF(B71="",NA(),IFERROR(INDEX('Financial Data Input'!$B$7:$I$66,$A71,F$6),NA()))</f>
        <v>0</v>
      </c>
      <c r="G71" s="175">
        <f ca="1">IF(B71="",NA(),IFERROR(INDEX('Financial Data Input'!$B$7:$I$66,$A71,G$6),NA()))</f>
        <v>0</v>
      </c>
    </row>
    <row r="72" spans="1:11" ht="19.5" customHeight="1" x14ac:dyDescent="0.25">
      <c r="A72" s="175">
        <f>ROWS($B$15:B72)</f>
        <v>58</v>
      </c>
      <c r="B72" s="175" t="str">
        <f>IF('Financial Data Input'!B64=0,"",'Financial Data Input'!B64)</f>
        <v>METRIC 49</v>
      </c>
      <c r="C72" s="175">
        <f ca="1">IF(B72="",NA(),IFERROR(INDEX('Financial Data Input'!$B$7:$I$66,$A72,C$6),NA()))</f>
        <v>0</v>
      </c>
      <c r="D72" s="175">
        <f ca="1">IF(B72="",NA(),IFERROR(INDEX('Financial Data Input'!$B$7:$I$66,$A72,D$6),NA()))</f>
        <v>0</v>
      </c>
      <c r="E72" s="175">
        <f ca="1">IF(B72="",NA(),IFERROR(INDEX('Financial Data Input'!$B$7:$I$66,$A72,E$6),NA()))</f>
        <v>0</v>
      </c>
      <c r="F72" s="175">
        <f ca="1">IF(B72="",NA(),IFERROR(INDEX('Financial Data Input'!$B$7:$I$66,$A72,F$6),NA()))</f>
        <v>0</v>
      </c>
      <c r="G72" s="175">
        <f ca="1">IF(B72="",NA(),IFERROR(INDEX('Financial Data Input'!$B$7:$I$66,$A72,G$6),NA()))</f>
        <v>0</v>
      </c>
    </row>
    <row r="73" spans="1:11" ht="19.5" customHeight="1" x14ac:dyDescent="0.25">
      <c r="A73" s="175">
        <f>ROWS($B$15:B73)</f>
        <v>59</v>
      </c>
      <c r="B73" s="175" t="str">
        <f>IF('Financial Data Input'!B65=0,"",'Financial Data Input'!B65)</f>
        <v>METRIC 50</v>
      </c>
      <c r="C73" s="175">
        <f ca="1">IF(B73="",NA(),IFERROR(INDEX('Financial Data Input'!$B$7:$I$66,$A73,C$6),NA()))</f>
        <v>0</v>
      </c>
      <c r="D73" s="175">
        <f ca="1">IF(B73="",NA(),IFERROR(INDEX('Financial Data Input'!$B$7:$I$66,$A73,D$6),NA()))</f>
        <v>0</v>
      </c>
      <c r="E73" s="175">
        <f ca="1">IF(B73="",NA(),IFERROR(INDEX('Financial Data Input'!$B$7:$I$66,$A73,E$6),NA()))</f>
        <v>0</v>
      </c>
      <c r="F73" s="175">
        <f ca="1">IF(B73="",NA(),IFERROR(INDEX('Financial Data Input'!$B$7:$I$66,$A73,F$6),NA()))</f>
        <v>0</v>
      </c>
      <c r="G73" s="175">
        <f ca="1">IF(B73="",NA(),IFERROR(INDEX('Financial Data Input'!$B$7:$I$66,$A73,G$6),NA()))</f>
        <v>0</v>
      </c>
    </row>
  </sheetData>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47"/>
  <sheetViews>
    <sheetView workbookViewId="0">
      <selection sqref="A1:F1"/>
    </sheetView>
  </sheetViews>
  <sheetFormatPr defaultRowHeight="15" x14ac:dyDescent="0.25"/>
  <cols>
    <col min="1" max="1" width="49.28515625" bestFit="1" customWidth="1"/>
  </cols>
  <sheetData>
    <row r="1" spans="1:4" ht="18.75" x14ac:dyDescent="0.3">
      <c r="A1" s="172" t="s">
        <v>195</v>
      </c>
      <c r="D1" s="173" t="s">
        <v>196</v>
      </c>
    </row>
    <row r="2" spans="1:4" x14ac:dyDescent="0.25">
      <c r="A2" s="171" t="s">
        <v>0</v>
      </c>
      <c r="D2" s="173" t="s">
        <v>197</v>
      </c>
    </row>
    <row r="3" spans="1:4" x14ac:dyDescent="0.25">
      <c r="A3" s="16" t="s">
        <v>25</v>
      </c>
    </row>
    <row r="4" spans="1:4" x14ac:dyDescent="0.25">
      <c r="A4" s="16" t="s">
        <v>384</v>
      </c>
    </row>
    <row r="5" spans="1:4" x14ac:dyDescent="0.25">
      <c r="A5" s="16" t="s">
        <v>1</v>
      </c>
    </row>
    <row r="6" spans="1:4" x14ac:dyDescent="0.25">
      <c r="A6" s="16" t="s">
        <v>2</v>
      </c>
    </row>
    <row r="7" spans="1:4" x14ac:dyDescent="0.25">
      <c r="A7" s="16" t="s">
        <v>3</v>
      </c>
    </row>
    <row r="8" spans="1:4" x14ac:dyDescent="0.25">
      <c r="A8" s="16" t="s">
        <v>32</v>
      </c>
    </row>
    <row r="9" spans="1:4" x14ac:dyDescent="0.25">
      <c r="A9" s="16" t="s">
        <v>22</v>
      </c>
    </row>
    <row r="10" spans="1:4" x14ac:dyDescent="0.25">
      <c r="A10" s="16" t="s">
        <v>4</v>
      </c>
    </row>
    <row r="11" spans="1:4" x14ac:dyDescent="0.25">
      <c r="A11" s="16" t="s">
        <v>27</v>
      </c>
    </row>
    <row r="12" spans="1:4" x14ac:dyDescent="0.25">
      <c r="A12" s="16" t="s">
        <v>28</v>
      </c>
    </row>
    <row r="13" spans="1:4" x14ac:dyDescent="0.25">
      <c r="A13" s="16" t="s">
        <v>5</v>
      </c>
    </row>
    <row r="14" spans="1:4" x14ac:dyDescent="0.25">
      <c r="A14" s="16" t="s">
        <v>21</v>
      </c>
    </row>
    <row r="15" spans="1:4" x14ac:dyDescent="0.25">
      <c r="A15" s="16" t="s">
        <v>7</v>
      </c>
    </row>
    <row r="16" spans="1:4" x14ac:dyDescent="0.25">
      <c r="A16" s="16" t="s">
        <v>6</v>
      </c>
    </row>
    <row r="17" spans="1:1" x14ac:dyDescent="0.25">
      <c r="A17" s="16" t="s">
        <v>29</v>
      </c>
    </row>
    <row r="18" spans="1:1" x14ac:dyDescent="0.25">
      <c r="A18" s="16" t="s">
        <v>8</v>
      </c>
    </row>
    <row r="19" spans="1:1" x14ac:dyDescent="0.25">
      <c r="A19" s="16" t="s">
        <v>9</v>
      </c>
    </row>
    <row r="20" spans="1:1" x14ac:dyDescent="0.25">
      <c r="A20" s="16" t="s">
        <v>23</v>
      </c>
    </row>
    <row r="21" spans="1:1" x14ac:dyDescent="0.25">
      <c r="A21" s="16" t="s">
        <v>24</v>
      </c>
    </row>
    <row r="22" spans="1:1" x14ac:dyDescent="0.25">
      <c r="A22" s="16" t="s">
        <v>33</v>
      </c>
    </row>
    <row r="23" spans="1:1" x14ac:dyDescent="0.25">
      <c r="A23" s="16" t="s">
        <v>10</v>
      </c>
    </row>
    <row r="24" spans="1:1" x14ac:dyDescent="0.25">
      <c r="A24" s="16" t="s">
        <v>358</v>
      </c>
    </row>
    <row r="25" spans="1:1" x14ac:dyDescent="0.25">
      <c r="A25" s="16" t="s">
        <v>190</v>
      </c>
    </row>
    <row r="26" spans="1:1" x14ac:dyDescent="0.25">
      <c r="A26" s="16" t="s">
        <v>11</v>
      </c>
    </row>
    <row r="27" spans="1:1" x14ac:dyDescent="0.25">
      <c r="A27" s="16" t="s">
        <v>12</v>
      </c>
    </row>
    <row r="28" spans="1:1" x14ac:dyDescent="0.25">
      <c r="A28" s="16" t="s">
        <v>13</v>
      </c>
    </row>
    <row r="29" spans="1:1" x14ac:dyDescent="0.25">
      <c r="A29" s="16" t="s">
        <v>14</v>
      </c>
    </row>
    <row r="30" spans="1:1" x14ac:dyDescent="0.25">
      <c r="A30" s="16" t="s">
        <v>15</v>
      </c>
    </row>
    <row r="31" spans="1:1" x14ac:dyDescent="0.25">
      <c r="A31" s="16" t="s">
        <v>16</v>
      </c>
    </row>
    <row r="32" spans="1:1" x14ac:dyDescent="0.25">
      <c r="A32" s="16" t="s">
        <v>17</v>
      </c>
    </row>
    <row r="33" spans="1:1" x14ac:dyDescent="0.25">
      <c r="A33" s="16" t="s">
        <v>18</v>
      </c>
    </row>
    <row r="34" spans="1:1" x14ac:dyDescent="0.25">
      <c r="A34" s="16" t="s">
        <v>360</v>
      </c>
    </row>
    <row r="35" spans="1:1" x14ac:dyDescent="0.25">
      <c r="A35" s="16" t="s">
        <v>19</v>
      </c>
    </row>
    <row r="36" spans="1:1" x14ac:dyDescent="0.25">
      <c r="A36" s="16" t="s">
        <v>385</v>
      </c>
    </row>
    <row r="37" spans="1:1" x14ac:dyDescent="0.25">
      <c r="A37" s="16" t="s">
        <v>31</v>
      </c>
    </row>
    <row r="38" spans="1:1" x14ac:dyDescent="0.25">
      <c r="A38" s="16" t="s">
        <v>20</v>
      </c>
    </row>
    <row r="39" spans="1:1" x14ac:dyDescent="0.25">
      <c r="A39" s="16" t="s">
        <v>42</v>
      </c>
    </row>
    <row r="40" spans="1:1" x14ac:dyDescent="0.25">
      <c r="A40" s="16" t="s">
        <v>43</v>
      </c>
    </row>
    <row r="41" spans="1:1" x14ac:dyDescent="0.25">
      <c r="A41" s="16" t="s">
        <v>34</v>
      </c>
    </row>
    <row r="42" spans="1:1" x14ac:dyDescent="0.25">
      <c r="A42" s="16" t="s">
        <v>35</v>
      </c>
    </row>
    <row r="43" spans="1:1" x14ac:dyDescent="0.25">
      <c r="A43" s="16" t="s">
        <v>386</v>
      </c>
    </row>
    <row r="44" spans="1:1" x14ac:dyDescent="0.25">
      <c r="A44" s="16" t="s">
        <v>36</v>
      </c>
    </row>
    <row r="45" spans="1:1" x14ac:dyDescent="0.25">
      <c r="A45" s="16" t="s">
        <v>38</v>
      </c>
    </row>
    <row r="46" spans="1:1" x14ac:dyDescent="0.25">
      <c r="A46" s="16" t="s">
        <v>39</v>
      </c>
    </row>
    <row r="47" spans="1:1" x14ac:dyDescent="0.25">
      <c r="A47" s="16" t="s">
        <v>40</v>
      </c>
    </row>
  </sheetData>
  <pageMargins left="0.7" right="0.7" top="0.75" bottom="0.75" header="0.3" footer="0.3"/>
  <pageSetup orientation="portrait" r:id="rId1"/>
  <customProperties>
    <customPr name="EpmWorksheetKeyString_GUID" r:id="rId2"/>
  </customProperties>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E54"/>
  <sheetViews>
    <sheetView workbookViewId="0">
      <pane xSplit="1" ySplit="5" topLeftCell="AP39" activePane="bottomRight" state="frozen"/>
      <selection sqref="A1:F1"/>
      <selection pane="topRight" sqref="A1:F1"/>
      <selection pane="bottomLeft" sqref="A1:F1"/>
      <selection pane="bottomRight" sqref="A1:F1"/>
    </sheetView>
  </sheetViews>
  <sheetFormatPr defaultRowHeight="15" x14ac:dyDescent="0.25"/>
  <cols>
    <col min="1" max="1" width="49.28515625" bestFit="1" customWidth="1"/>
    <col min="8" max="8" width="1.7109375" customWidth="1"/>
    <col min="15" max="15" width="1.7109375" customWidth="1"/>
    <col min="22" max="22" width="1.7109375" customWidth="1"/>
    <col min="29" max="29" width="1.7109375" customWidth="1"/>
    <col min="36" max="36" width="1.7109375" customWidth="1"/>
    <col min="43" max="43" width="1.7109375" customWidth="1"/>
    <col min="51" max="51" width="36.85546875" customWidth="1"/>
    <col min="55" max="55" width="9.140625" style="222"/>
    <col min="57" max="57" width="9.140625" style="222"/>
  </cols>
  <sheetData>
    <row r="1" spans="1:57" x14ac:dyDescent="0.25">
      <c r="A1" s="29">
        <v>1</v>
      </c>
      <c r="B1" s="29">
        <v>2</v>
      </c>
      <c r="C1" s="29">
        <v>3</v>
      </c>
      <c r="D1" s="29">
        <v>4</v>
      </c>
      <c r="E1" s="29">
        <v>5</v>
      </c>
      <c r="F1" s="29">
        <v>6</v>
      </c>
      <c r="G1" s="29">
        <v>7</v>
      </c>
      <c r="H1" s="29">
        <v>8</v>
      </c>
      <c r="I1" s="29">
        <v>9</v>
      </c>
      <c r="J1" s="29">
        <v>10</v>
      </c>
      <c r="K1" s="29">
        <v>11</v>
      </c>
      <c r="L1" s="29">
        <v>12</v>
      </c>
      <c r="M1" s="29">
        <v>13</v>
      </c>
      <c r="N1" s="29">
        <v>14</v>
      </c>
      <c r="O1" s="29">
        <v>15</v>
      </c>
      <c r="P1" s="29">
        <v>16</v>
      </c>
      <c r="Q1" s="29">
        <v>17</v>
      </c>
      <c r="R1" s="29">
        <v>18</v>
      </c>
      <c r="S1" s="29">
        <v>19</v>
      </c>
      <c r="T1" s="29">
        <v>20</v>
      </c>
      <c r="U1" s="29">
        <v>21</v>
      </c>
      <c r="V1" s="29">
        <v>22</v>
      </c>
      <c r="W1" s="29">
        <v>23</v>
      </c>
      <c r="X1" s="29">
        <v>24</v>
      </c>
      <c r="Y1" s="29">
        <v>25</v>
      </c>
      <c r="Z1" s="29">
        <v>26</v>
      </c>
      <c r="AA1" s="29">
        <v>27</v>
      </c>
      <c r="AB1" s="29">
        <v>28</v>
      </c>
      <c r="AC1" s="29">
        <v>29</v>
      </c>
      <c r="AD1" s="29">
        <v>30</v>
      </c>
      <c r="AE1" s="29">
        <v>31</v>
      </c>
      <c r="AF1" s="29">
        <v>32</v>
      </c>
      <c r="AG1" s="29">
        <v>33</v>
      </c>
      <c r="AH1" s="29">
        <v>34</v>
      </c>
      <c r="AI1" s="29">
        <v>35</v>
      </c>
      <c r="AJ1" s="29">
        <v>36</v>
      </c>
      <c r="AK1" s="29">
        <v>37</v>
      </c>
      <c r="AL1" s="29">
        <v>38</v>
      </c>
      <c r="AM1" s="29">
        <v>39</v>
      </c>
      <c r="AN1" s="29">
        <v>40</v>
      </c>
      <c r="AO1" s="29">
        <v>41</v>
      </c>
      <c r="AP1" s="29">
        <v>42</v>
      </c>
      <c r="AQ1" s="29">
        <v>43</v>
      </c>
      <c r="AR1" s="29">
        <v>44</v>
      </c>
      <c r="AS1" s="29">
        <v>45</v>
      </c>
      <c r="AT1" s="29">
        <v>46</v>
      </c>
      <c r="AU1" s="29">
        <v>47</v>
      </c>
      <c r="AV1" s="29">
        <v>48</v>
      </c>
      <c r="AW1" s="29">
        <v>49</v>
      </c>
    </row>
    <row r="2" spans="1:57" x14ac:dyDescent="0.25">
      <c r="B2" s="31" t="s">
        <v>125</v>
      </c>
      <c r="C2" s="30"/>
      <c r="D2" s="30"/>
      <c r="E2" s="30"/>
      <c r="F2" s="30"/>
      <c r="G2" s="30"/>
      <c r="H2" s="94"/>
      <c r="I2" s="30"/>
      <c r="J2" s="30"/>
      <c r="K2" s="30"/>
      <c r="L2" s="30"/>
      <c r="M2" s="30"/>
      <c r="N2" s="30"/>
      <c r="O2" s="94"/>
      <c r="P2" s="30"/>
      <c r="Q2" s="30"/>
      <c r="R2" s="30"/>
      <c r="S2" s="30"/>
      <c r="T2" s="30"/>
      <c r="U2" s="30"/>
      <c r="V2" s="94"/>
      <c r="W2" s="77"/>
      <c r="X2" s="30"/>
      <c r="Y2" s="30"/>
      <c r="Z2" s="30"/>
      <c r="AA2" s="30"/>
      <c r="AB2" s="30"/>
      <c r="AC2" s="94"/>
      <c r="AD2" s="77"/>
      <c r="AE2" s="30"/>
      <c r="AF2" s="30"/>
      <c r="AG2" s="30"/>
      <c r="AH2" s="30"/>
      <c r="AI2" s="30"/>
      <c r="AJ2" s="94"/>
      <c r="AK2" s="77"/>
      <c r="AL2" s="30"/>
      <c r="AM2" s="30"/>
      <c r="AN2" s="30"/>
      <c r="AO2" s="30"/>
      <c r="AP2" s="30"/>
      <c r="AQ2" s="94"/>
      <c r="AR2" s="30"/>
      <c r="AS2" s="30"/>
      <c r="AT2" s="30"/>
      <c r="AU2" s="30"/>
      <c r="AV2" s="30"/>
      <c r="AW2" s="30"/>
    </row>
    <row r="3" spans="1:57" x14ac:dyDescent="0.25">
      <c r="B3" s="93" t="s">
        <v>126</v>
      </c>
      <c r="C3" s="93" t="s">
        <v>127</v>
      </c>
      <c r="D3" s="329" t="s">
        <v>128</v>
      </c>
      <c r="E3" s="329"/>
      <c r="F3" s="329" t="s">
        <v>129</v>
      </c>
      <c r="G3" s="329"/>
      <c r="H3" s="301"/>
      <c r="I3" s="93" t="s">
        <v>126</v>
      </c>
      <c r="J3" s="93" t="s">
        <v>127</v>
      </c>
      <c r="K3" s="329" t="s">
        <v>128</v>
      </c>
      <c r="L3" s="329"/>
      <c r="M3" s="329" t="s">
        <v>129</v>
      </c>
      <c r="N3" s="329"/>
      <c r="O3" s="301"/>
      <c r="P3" s="93" t="s">
        <v>126</v>
      </c>
      <c r="Q3" s="93" t="s">
        <v>127</v>
      </c>
      <c r="R3" s="329" t="s">
        <v>128</v>
      </c>
      <c r="S3" s="329"/>
      <c r="T3" s="329" t="s">
        <v>129</v>
      </c>
      <c r="U3" s="329"/>
      <c r="V3" s="301"/>
      <c r="W3" s="93" t="s">
        <v>126</v>
      </c>
      <c r="X3" s="93" t="s">
        <v>127</v>
      </c>
      <c r="Y3" s="329" t="s">
        <v>128</v>
      </c>
      <c r="Z3" s="329"/>
      <c r="AA3" s="329" t="s">
        <v>129</v>
      </c>
      <c r="AB3" s="329"/>
      <c r="AC3" s="301"/>
      <c r="AD3" s="93" t="s">
        <v>126</v>
      </c>
      <c r="AE3" s="93" t="s">
        <v>127</v>
      </c>
      <c r="AF3" s="329" t="s">
        <v>128</v>
      </c>
      <c r="AG3" s="329"/>
      <c r="AH3" s="329" t="s">
        <v>129</v>
      </c>
      <c r="AI3" s="329"/>
      <c r="AJ3" s="301"/>
      <c r="AK3" s="93" t="s">
        <v>126</v>
      </c>
      <c r="AL3" s="93" t="s">
        <v>127</v>
      </c>
      <c r="AM3" s="329" t="s">
        <v>128</v>
      </c>
      <c r="AN3" s="329"/>
      <c r="AO3" s="329" t="s">
        <v>129</v>
      </c>
      <c r="AP3" s="329"/>
      <c r="AQ3" s="301"/>
      <c r="AR3" s="93" t="s">
        <v>126</v>
      </c>
      <c r="AS3" s="93" t="s">
        <v>127</v>
      </c>
      <c r="AT3" s="329" t="s">
        <v>128</v>
      </c>
      <c r="AU3" s="329"/>
      <c r="AV3" s="329" t="s">
        <v>129</v>
      </c>
      <c r="AW3" s="329"/>
    </row>
    <row r="4" spans="1:57" x14ac:dyDescent="0.25">
      <c r="B4" s="15">
        <v>2014</v>
      </c>
      <c r="C4" s="15">
        <v>2014</v>
      </c>
      <c r="D4" s="15">
        <v>2014</v>
      </c>
      <c r="E4" s="15">
        <v>2014</v>
      </c>
      <c r="F4" s="15">
        <v>2014</v>
      </c>
      <c r="G4" s="15">
        <v>2014</v>
      </c>
      <c r="H4" s="15"/>
      <c r="I4" s="15">
        <v>2015</v>
      </c>
      <c r="J4" s="15">
        <v>2015</v>
      </c>
      <c r="K4" s="15">
        <v>2015</v>
      </c>
      <c r="L4" s="15">
        <v>2015</v>
      </c>
      <c r="M4" s="15">
        <v>2015</v>
      </c>
      <c r="N4" s="15">
        <v>2015</v>
      </c>
      <c r="O4" s="15"/>
      <c r="P4" s="15">
        <v>2016</v>
      </c>
      <c r="Q4" s="15">
        <v>2016</v>
      </c>
      <c r="R4" s="15">
        <v>2016</v>
      </c>
      <c r="S4" s="15">
        <v>2016</v>
      </c>
      <c r="T4" s="15">
        <v>2016</v>
      </c>
      <c r="U4" s="15">
        <v>2016</v>
      </c>
      <c r="V4" s="15"/>
      <c r="W4" s="73">
        <v>2017</v>
      </c>
      <c r="X4" s="15">
        <v>2017</v>
      </c>
      <c r="Y4" s="15">
        <v>2017</v>
      </c>
      <c r="Z4" s="15">
        <v>2017</v>
      </c>
      <c r="AA4" s="15">
        <v>2017</v>
      </c>
      <c r="AB4" s="15">
        <v>2017</v>
      </c>
      <c r="AC4" s="15"/>
      <c r="AD4" s="73">
        <v>2018</v>
      </c>
      <c r="AE4" s="15">
        <v>2018</v>
      </c>
      <c r="AF4" s="15">
        <v>2018</v>
      </c>
      <c r="AG4" s="15">
        <v>2018</v>
      </c>
      <c r="AH4" s="15">
        <v>2018</v>
      </c>
      <c r="AI4" s="15">
        <v>2018</v>
      </c>
      <c r="AJ4" s="15"/>
      <c r="AK4" s="73">
        <v>2019</v>
      </c>
      <c r="AL4" s="15">
        <v>2019</v>
      </c>
      <c r="AM4" s="15">
        <v>2019</v>
      </c>
      <c r="AN4" s="15">
        <v>2019</v>
      </c>
      <c r="AO4" s="15">
        <v>2019</v>
      </c>
      <c r="AP4" s="15">
        <v>2019</v>
      </c>
      <c r="AQ4" s="15"/>
      <c r="AR4" s="15">
        <v>2020</v>
      </c>
      <c r="AS4" s="15">
        <v>2020</v>
      </c>
      <c r="AT4" s="15">
        <v>2020</v>
      </c>
      <c r="AU4" s="15">
        <v>2020</v>
      </c>
      <c r="AV4" s="15">
        <v>2020</v>
      </c>
      <c r="AW4" s="15">
        <v>2020</v>
      </c>
    </row>
    <row r="5" spans="1:57" ht="75" x14ac:dyDescent="0.25">
      <c r="A5" s="40" t="s">
        <v>44</v>
      </c>
      <c r="B5" s="41" t="s">
        <v>47</v>
      </c>
      <c r="C5" s="41" t="s">
        <v>47</v>
      </c>
      <c r="D5" s="41" t="s">
        <v>47</v>
      </c>
      <c r="E5" s="41" t="s">
        <v>51</v>
      </c>
      <c r="F5" s="41" t="s">
        <v>47</v>
      </c>
      <c r="G5" s="41" t="s">
        <v>51</v>
      </c>
      <c r="H5" s="41"/>
      <c r="I5" s="41" t="s">
        <v>47</v>
      </c>
      <c r="J5" s="41" t="s">
        <v>47</v>
      </c>
      <c r="K5" s="41" t="s">
        <v>47</v>
      </c>
      <c r="L5" s="41" t="s">
        <v>51</v>
      </c>
      <c r="M5" s="41" t="s">
        <v>47</v>
      </c>
      <c r="N5" s="41" t="s">
        <v>51</v>
      </c>
      <c r="O5" s="41"/>
      <c r="P5" s="41" t="s">
        <v>47</v>
      </c>
      <c r="Q5" s="41" t="s">
        <v>47</v>
      </c>
      <c r="R5" s="41" t="s">
        <v>47</v>
      </c>
      <c r="S5" s="41" t="s">
        <v>51</v>
      </c>
      <c r="T5" s="41" t="s">
        <v>47</v>
      </c>
      <c r="U5" s="41" t="s">
        <v>51</v>
      </c>
      <c r="V5" s="41"/>
      <c r="W5" s="74" t="s">
        <v>47</v>
      </c>
      <c r="X5" s="41" t="s">
        <v>47</v>
      </c>
      <c r="Y5" s="41" t="s">
        <v>47</v>
      </c>
      <c r="Z5" s="41" t="s">
        <v>51</v>
      </c>
      <c r="AA5" s="41"/>
      <c r="AB5" s="41"/>
      <c r="AC5" s="41"/>
      <c r="AD5" s="74" t="s">
        <v>47</v>
      </c>
      <c r="AE5" s="41" t="s">
        <v>47</v>
      </c>
      <c r="AF5" s="41" t="s">
        <v>47</v>
      </c>
      <c r="AG5" s="41" t="s">
        <v>51</v>
      </c>
      <c r="AH5" s="41" t="s">
        <v>47</v>
      </c>
      <c r="AI5" s="41" t="s">
        <v>51</v>
      </c>
      <c r="AJ5" s="41"/>
      <c r="AK5" s="74" t="s">
        <v>47</v>
      </c>
      <c r="AL5" s="41" t="s">
        <v>47</v>
      </c>
      <c r="AM5" s="41" t="s">
        <v>47</v>
      </c>
      <c r="AN5" s="41" t="s">
        <v>51</v>
      </c>
      <c r="AO5" s="41" t="s">
        <v>47</v>
      </c>
      <c r="AP5" s="41" t="s">
        <v>51</v>
      </c>
      <c r="AQ5" s="41"/>
      <c r="AR5" s="41" t="s">
        <v>47</v>
      </c>
      <c r="AS5" s="41" t="s">
        <v>47</v>
      </c>
      <c r="AT5" s="41" t="s">
        <v>47</v>
      </c>
      <c r="AU5" s="41" t="s">
        <v>51</v>
      </c>
      <c r="AV5" s="41" t="s">
        <v>47</v>
      </c>
      <c r="AW5" s="41" t="s">
        <v>51</v>
      </c>
      <c r="AY5" s="15" t="s">
        <v>44</v>
      </c>
      <c r="AZ5" s="42" t="s">
        <v>397</v>
      </c>
      <c r="BA5" s="42" t="s">
        <v>398</v>
      </c>
      <c r="BB5" s="42" t="s">
        <v>399</v>
      </c>
      <c r="BC5" s="42" t="s">
        <v>377</v>
      </c>
      <c r="BD5" s="42" t="s">
        <v>400</v>
      </c>
      <c r="BE5" s="42" t="s">
        <v>401</v>
      </c>
    </row>
    <row r="6" spans="1:57" x14ac:dyDescent="0.25">
      <c r="A6" s="16" t="s">
        <v>0</v>
      </c>
      <c r="B6" s="13">
        <v>59</v>
      </c>
      <c r="C6" s="13">
        <v>53</v>
      </c>
      <c r="D6" s="13">
        <v>3</v>
      </c>
      <c r="E6" s="26">
        <v>5.6603773584905662E-2</v>
      </c>
      <c r="F6" s="13">
        <v>2</v>
      </c>
      <c r="G6" s="26">
        <v>3.7735849056603772E-2</v>
      </c>
      <c r="H6" s="13"/>
      <c r="I6" s="13">
        <v>49</v>
      </c>
      <c r="J6" s="13">
        <v>46</v>
      </c>
      <c r="K6" s="13">
        <v>6</v>
      </c>
      <c r="L6" s="26">
        <v>0.13043478260869565</v>
      </c>
      <c r="M6" s="13">
        <v>1</v>
      </c>
      <c r="N6" s="26">
        <v>2.1739130434782608E-2</v>
      </c>
      <c r="O6" s="13"/>
      <c r="P6" s="13">
        <v>56</v>
      </c>
      <c r="Q6" s="13">
        <v>48</v>
      </c>
      <c r="R6" s="13">
        <v>2</v>
      </c>
      <c r="S6" s="26">
        <v>4.1666666666666664E-2</v>
      </c>
      <c r="T6" s="13">
        <v>1</v>
      </c>
      <c r="U6" s="26">
        <v>2.0833333333333332E-2</v>
      </c>
      <c r="V6" s="13"/>
      <c r="W6" s="13">
        <v>51</v>
      </c>
      <c r="X6" s="13">
        <v>44</v>
      </c>
      <c r="Y6" s="13">
        <v>3</v>
      </c>
      <c r="Z6" s="26">
        <v>6.8181818181818177E-2</v>
      </c>
      <c r="AA6" s="13">
        <v>1</v>
      </c>
      <c r="AB6" s="26">
        <v>2.2727272727272728E-2</v>
      </c>
      <c r="AC6" s="13"/>
      <c r="AD6" s="13">
        <v>56</v>
      </c>
      <c r="AE6" s="13">
        <v>48</v>
      </c>
      <c r="AF6" s="13">
        <v>0</v>
      </c>
      <c r="AG6" s="26">
        <v>0</v>
      </c>
      <c r="AH6" s="13">
        <v>0</v>
      </c>
      <c r="AI6" s="26">
        <v>0</v>
      </c>
      <c r="AJ6" s="13"/>
      <c r="AK6" s="13">
        <v>55</v>
      </c>
      <c r="AL6" s="13">
        <v>48</v>
      </c>
      <c r="AM6" s="13">
        <v>2</v>
      </c>
      <c r="AN6" s="26">
        <v>4.1666666666666664E-2</v>
      </c>
      <c r="AO6" s="13"/>
      <c r="AP6" s="26">
        <v>0</v>
      </c>
      <c r="AQ6" s="13"/>
      <c r="AR6" s="281">
        <v>53</v>
      </c>
      <c r="AS6" s="281">
        <v>51</v>
      </c>
      <c r="AT6" s="281"/>
      <c r="AU6" s="84">
        <f t="shared" ref="AU6:AU51" si="0">AT6/AS6</f>
        <v>0</v>
      </c>
      <c r="AV6" s="281"/>
      <c r="AW6" s="84">
        <f t="shared" ref="AW6:AW51" si="1">AV6/AS6</f>
        <v>0</v>
      </c>
      <c r="AX6" s="159" t="str">
        <f t="shared" ref="AX6:AX51" si="2">IF(AY6=A6,"OK","No")</f>
        <v>No</v>
      </c>
      <c r="AY6" t="s">
        <v>361</v>
      </c>
      <c r="AZ6">
        <v>53</v>
      </c>
      <c r="BA6">
        <v>51</v>
      </c>
      <c r="BC6" s="222">
        <v>0</v>
      </c>
      <c r="BE6" s="222">
        <v>0</v>
      </c>
    </row>
    <row r="7" spans="1:57" x14ac:dyDescent="0.25">
      <c r="A7" s="16" t="s">
        <v>25</v>
      </c>
      <c r="B7" s="13">
        <v>149</v>
      </c>
      <c r="C7" s="13">
        <v>134</v>
      </c>
      <c r="D7" s="13">
        <v>22</v>
      </c>
      <c r="E7" s="26">
        <v>0.16417910447761194</v>
      </c>
      <c r="F7" s="13">
        <v>1</v>
      </c>
      <c r="G7" s="26">
        <v>7.462686567164179E-3</v>
      </c>
      <c r="H7" s="13"/>
      <c r="I7" s="13">
        <v>171</v>
      </c>
      <c r="J7" s="13">
        <v>151</v>
      </c>
      <c r="K7" s="13">
        <v>22</v>
      </c>
      <c r="L7" s="26">
        <v>0.14569536423841059</v>
      </c>
      <c r="M7" s="13">
        <v>2</v>
      </c>
      <c r="N7" s="26">
        <v>1.3245033112582781E-2</v>
      </c>
      <c r="O7" s="13"/>
      <c r="P7" s="13">
        <v>170</v>
      </c>
      <c r="Q7" s="13">
        <v>156</v>
      </c>
      <c r="R7" s="13">
        <v>18</v>
      </c>
      <c r="S7" s="26">
        <v>0.11538461538461539</v>
      </c>
      <c r="T7" s="13">
        <v>1</v>
      </c>
      <c r="U7" s="26">
        <v>6.41025641025641E-3</v>
      </c>
      <c r="V7" s="13"/>
      <c r="W7" s="13">
        <v>160</v>
      </c>
      <c r="X7" s="13">
        <v>147</v>
      </c>
      <c r="Y7" s="13">
        <v>15</v>
      </c>
      <c r="Z7" s="26">
        <v>0.10204081632653061</v>
      </c>
      <c r="AA7" s="13">
        <v>2</v>
      </c>
      <c r="AB7" s="26">
        <v>1.3605442176870748E-2</v>
      </c>
      <c r="AC7" s="13"/>
      <c r="AD7" s="13">
        <v>177</v>
      </c>
      <c r="AE7" s="13">
        <v>150</v>
      </c>
      <c r="AF7" s="13">
        <v>9</v>
      </c>
      <c r="AG7" s="26">
        <v>0.06</v>
      </c>
      <c r="AH7" s="13">
        <v>1</v>
      </c>
      <c r="AI7" s="26">
        <v>6.6666666666666671E-3</v>
      </c>
      <c r="AJ7" s="13"/>
      <c r="AK7" s="13">
        <v>180</v>
      </c>
      <c r="AL7" s="13">
        <v>168</v>
      </c>
      <c r="AM7" s="13">
        <v>7</v>
      </c>
      <c r="AN7" s="26">
        <v>4.1666666666666664E-2</v>
      </c>
      <c r="AO7" s="13">
        <v>2</v>
      </c>
      <c r="AP7" s="26">
        <v>1.1904761904761904E-2</v>
      </c>
      <c r="AQ7" s="13"/>
      <c r="AR7" s="281">
        <v>179</v>
      </c>
      <c r="AS7" s="281">
        <v>175</v>
      </c>
      <c r="AT7" s="281"/>
      <c r="AU7" s="84">
        <f t="shared" si="0"/>
        <v>0</v>
      </c>
      <c r="AV7" s="281">
        <v>4</v>
      </c>
      <c r="AW7" s="84">
        <f t="shared" si="1"/>
        <v>2.2857142857142857E-2</v>
      </c>
      <c r="AX7" s="159" t="str">
        <f t="shared" si="2"/>
        <v>OK</v>
      </c>
      <c r="AY7" t="s">
        <v>25</v>
      </c>
      <c r="AZ7">
        <v>179</v>
      </c>
      <c r="BA7">
        <v>175</v>
      </c>
      <c r="BC7" s="222">
        <v>0</v>
      </c>
      <c r="BD7">
        <v>4</v>
      </c>
      <c r="BE7" s="222">
        <v>2.2857142857142857E-2</v>
      </c>
    </row>
    <row r="8" spans="1:57" x14ac:dyDescent="0.25">
      <c r="A8" s="16" t="s">
        <v>384</v>
      </c>
      <c r="B8" s="13">
        <v>6</v>
      </c>
      <c r="C8" s="13">
        <v>6</v>
      </c>
      <c r="D8" s="13">
        <v>0</v>
      </c>
      <c r="E8" s="26">
        <v>0</v>
      </c>
      <c r="F8" s="13">
        <v>1</v>
      </c>
      <c r="G8" s="26">
        <v>0.16666666666666666</v>
      </c>
      <c r="H8" s="13"/>
      <c r="I8" s="13">
        <v>3</v>
      </c>
      <c r="J8" s="13">
        <v>3</v>
      </c>
      <c r="K8" s="13">
        <v>0</v>
      </c>
      <c r="L8" s="26">
        <v>0</v>
      </c>
      <c r="M8" s="13">
        <v>0</v>
      </c>
      <c r="N8" s="26">
        <v>0</v>
      </c>
      <c r="O8" s="13"/>
      <c r="P8" s="13">
        <v>2</v>
      </c>
      <c r="Q8" s="13">
        <v>2</v>
      </c>
      <c r="R8" s="13">
        <v>0</v>
      </c>
      <c r="S8" s="26">
        <v>0</v>
      </c>
      <c r="T8" s="13">
        <v>0</v>
      </c>
      <c r="U8" s="26">
        <v>0</v>
      </c>
      <c r="V8" s="13"/>
      <c r="W8" s="13">
        <v>2</v>
      </c>
      <c r="X8" s="13">
        <v>2</v>
      </c>
      <c r="Y8" s="13">
        <v>0</v>
      </c>
      <c r="Z8" s="26">
        <v>0</v>
      </c>
      <c r="AA8" s="13">
        <v>0</v>
      </c>
      <c r="AB8" s="26">
        <v>0</v>
      </c>
      <c r="AC8" s="13"/>
      <c r="AD8" s="13">
        <v>2</v>
      </c>
      <c r="AE8" s="13">
        <v>2</v>
      </c>
      <c r="AF8" s="13">
        <v>0</v>
      </c>
      <c r="AG8" s="26">
        <v>0</v>
      </c>
      <c r="AH8" s="13">
        <v>0</v>
      </c>
      <c r="AI8" s="26">
        <v>0</v>
      </c>
      <c r="AJ8" s="13"/>
      <c r="AK8" s="13">
        <v>2</v>
      </c>
      <c r="AL8" s="13">
        <v>2</v>
      </c>
      <c r="AM8" s="13"/>
      <c r="AN8" s="26">
        <v>0</v>
      </c>
      <c r="AO8" s="13">
        <v>1</v>
      </c>
      <c r="AP8" s="26">
        <v>0.5</v>
      </c>
      <c r="AQ8" s="13"/>
      <c r="AR8" s="281">
        <v>2</v>
      </c>
      <c r="AS8" s="281">
        <v>2</v>
      </c>
      <c r="AT8" s="281"/>
      <c r="AU8" s="84">
        <f t="shared" si="0"/>
        <v>0</v>
      </c>
      <c r="AV8" s="281">
        <v>1</v>
      </c>
      <c r="AW8" s="84">
        <f t="shared" si="1"/>
        <v>0.5</v>
      </c>
      <c r="AX8" s="159" t="str">
        <f t="shared" si="2"/>
        <v>OK</v>
      </c>
      <c r="AY8" t="s">
        <v>384</v>
      </c>
      <c r="AZ8">
        <v>2</v>
      </c>
      <c r="BA8">
        <v>2</v>
      </c>
      <c r="BC8" s="222">
        <v>0</v>
      </c>
      <c r="BD8">
        <v>1</v>
      </c>
      <c r="BE8" s="222">
        <v>0.5</v>
      </c>
    </row>
    <row r="9" spans="1:57" x14ac:dyDescent="0.25">
      <c r="A9" s="16" t="s">
        <v>1</v>
      </c>
      <c r="B9" s="13">
        <v>372</v>
      </c>
      <c r="C9" s="13">
        <v>343</v>
      </c>
      <c r="D9" s="13">
        <v>52</v>
      </c>
      <c r="E9" s="26">
        <v>0.15160349854227406</v>
      </c>
      <c r="F9" s="13">
        <v>16</v>
      </c>
      <c r="G9" s="26">
        <v>4.6647230320699708E-2</v>
      </c>
      <c r="H9" s="13"/>
      <c r="I9" s="13">
        <v>375</v>
      </c>
      <c r="J9" s="13">
        <v>347</v>
      </c>
      <c r="K9" s="13">
        <v>51</v>
      </c>
      <c r="L9" s="26">
        <v>0.14697406340057637</v>
      </c>
      <c r="M9" s="13">
        <v>7</v>
      </c>
      <c r="N9" s="26">
        <v>2.0172910662824207E-2</v>
      </c>
      <c r="O9" s="13"/>
      <c r="P9" s="13">
        <v>369</v>
      </c>
      <c r="Q9" s="13">
        <v>347</v>
      </c>
      <c r="R9" s="13">
        <v>41</v>
      </c>
      <c r="S9" s="26">
        <v>0.11815561959654179</v>
      </c>
      <c r="T9" s="13">
        <v>9</v>
      </c>
      <c r="U9" s="26">
        <v>2.5936599423631124E-2</v>
      </c>
      <c r="V9" s="13"/>
      <c r="W9" s="13">
        <v>369</v>
      </c>
      <c r="X9" s="13">
        <v>341</v>
      </c>
      <c r="Y9" s="13">
        <v>19</v>
      </c>
      <c r="Z9" s="26">
        <v>5.5718475073313782E-2</v>
      </c>
      <c r="AA9" s="13">
        <v>7</v>
      </c>
      <c r="AB9" s="26">
        <v>2.0527859237536656E-2</v>
      </c>
      <c r="AC9" s="13"/>
      <c r="AD9" s="13">
        <v>358</v>
      </c>
      <c r="AE9" s="13">
        <v>332</v>
      </c>
      <c r="AF9" s="13">
        <v>16</v>
      </c>
      <c r="AG9" s="26">
        <v>4.8192771084337352E-2</v>
      </c>
      <c r="AH9" s="13">
        <v>1</v>
      </c>
      <c r="AI9" s="26">
        <v>3.0120481927710845E-3</v>
      </c>
      <c r="AJ9" s="13"/>
      <c r="AK9" s="13">
        <v>407</v>
      </c>
      <c r="AL9" s="13">
        <v>381</v>
      </c>
      <c r="AM9" s="13">
        <v>18</v>
      </c>
      <c r="AN9" s="26">
        <v>4.7244094488188976E-2</v>
      </c>
      <c r="AO9" s="13">
        <v>6</v>
      </c>
      <c r="AP9" s="26">
        <v>1.5748031496062992E-2</v>
      </c>
      <c r="AQ9" s="13"/>
      <c r="AR9" s="281">
        <v>407</v>
      </c>
      <c r="AS9" s="281">
        <v>388</v>
      </c>
      <c r="AT9" s="281">
        <v>3</v>
      </c>
      <c r="AU9" s="84">
        <f t="shared" si="0"/>
        <v>7.7319587628865982E-3</v>
      </c>
      <c r="AV9" s="281">
        <v>10</v>
      </c>
      <c r="AW9" s="84">
        <f t="shared" si="1"/>
        <v>2.5773195876288658E-2</v>
      </c>
      <c r="AX9" s="159" t="str">
        <f t="shared" si="2"/>
        <v>OK</v>
      </c>
      <c r="AY9" t="s">
        <v>1</v>
      </c>
      <c r="AZ9">
        <v>407</v>
      </c>
      <c r="BA9">
        <v>388</v>
      </c>
      <c r="BB9">
        <v>3</v>
      </c>
      <c r="BC9" s="222">
        <v>7.7319587628865982E-3</v>
      </c>
      <c r="BD9">
        <v>10</v>
      </c>
      <c r="BE9" s="222">
        <v>2.5773195876288658E-2</v>
      </c>
    </row>
    <row r="10" spans="1:57" x14ac:dyDescent="0.25">
      <c r="A10" s="16" t="s">
        <v>2</v>
      </c>
      <c r="B10" s="13">
        <v>422</v>
      </c>
      <c r="C10" s="13">
        <v>391</v>
      </c>
      <c r="D10" s="13">
        <v>21</v>
      </c>
      <c r="E10" s="26">
        <v>5.3708439897698211E-2</v>
      </c>
      <c r="F10" s="13">
        <v>9</v>
      </c>
      <c r="G10" s="26">
        <v>2.3017902813299233E-2</v>
      </c>
      <c r="H10" s="13"/>
      <c r="I10" s="13">
        <v>420</v>
      </c>
      <c r="J10" s="13">
        <v>380</v>
      </c>
      <c r="K10" s="13">
        <v>25</v>
      </c>
      <c r="L10" s="26">
        <v>6.5789473684210523E-2</v>
      </c>
      <c r="M10" s="13">
        <v>7</v>
      </c>
      <c r="N10" s="26">
        <v>1.8421052631578946E-2</v>
      </c>
      <c r="O10" s="13"/>
      <c r="P10" s="13">
        <v>420</v>
      </c>
      <c r="Q10" s="13">
        <v>385</v>
      </c>
      <c r="R10" s="13">
        <v>20</v>
      </c>
      <c r="S10" s="26">
        <v>5.1948051948051951E-2</v>
      </c>
      <c r="T10" s="13">
        <v>10</v>
      </c>
      <c r="U10" s="26">
        <v>2.5974025974025976E-2</v>
      </c>
      <c r="V10" s="13"/>
      <c r="W10" s="13">
        <v>465</v>
      </c>
      <c r="X10" s="13">
        <v>418</v>
      </c>
      <c r="Y10" s="13">
        <v>24</v>
      </c>
      <c r="Z10" s="26">
        <v>5.7416267942583733E-2</v>
      </c>
      <c r="AA10" s="13">
        <v>9</v>
      </c>
      <c r="AB10" s="26">
        <v>2.1531100478468901E-2</v>
      </c>
      <c r="AC10" s="13"/>
      <c r="AD10" s="13">
        <v>458</v>
      </c>
      <c r="AE10" s="13">
        <v>428</v>
      </c>
      <c r="AF10" s="13">
        <v>19</v>
      </c>
      <c r="AG10" s="26">
        <v>4.4392523364485979E-2</v>
      </c>
      <c r="AH10" s="13">
        <v>4</v>
      </c>
      <c r="AI10" s="26">
        <v>9.3457943925233638E-3</v>
      </c>
      <c r="AJ10" s="13"/>
      <c r="AK10" s="13">
        <v>472</v>
      </c>
      <c r="AL10" s="13">
        <v>432</v>
      </c>
      <c r="AM10" s="13">
        <v>17</v>
      </c>
      <c r="AN10" s="26">
        <v>3.9351851851851853E-2</v>
      </c>
      <c r="AO10" s="13">
        <v>7</v>
      </c>
      <c r="AP10" s="26">
        <v>1.6203703703703703E-2</v>
      </c>
      <c r="AQ10" s="13"/>
      <c r="AR10" s="281">
        <v>481</v>
      </c>
      <c r="AS10" s="281">
        <v>451</v>
      </c>
      <c r="AT10" s="281">
        <v>5</v>
      </c>
      <c r="AU10" s="84">
        <f t="shared" si="0"/>
        <v>1.1086474501108648E-2</v>
      </c>
      <c r="AV10" s="281">
        <v>8</v>
      </c>
      <c r="AW10" s="84">
        <f t="shared" si="1"/>
        <v>1.7738359201773836E-2</v>
      </c>
      <c r="AX10" s="159" t="str">
        <f t="shared" si="2"/>
        <v>OK</v>
      </c>
      <c r="AY10" t="s">
        <v>2</v>
      </c>
      <c r="AZ10">
        <v>481</v>
      </c>
      <c r="BA10">
        <v>451</v>
      </c>
      <c r="BB10">
        <v>5</v>
      </c>
      <c r="BC10" s="222">
        <v>1.1086474501108648E-2</v>
      </c>
      <c r="BD10">
        <v>8</v>
      </c>
      <c r="BE10" s="222">
        <v>1.7738359201773836E-2</v>
      </c>
    </row>
    <row r="11" spans="1:57" x14ac:dyDescent="0.25">
      <c r="A11" s="16" t="s">
        <v>3</v>
      </c>
      <c r="B11" s="13">
        <v>20</v>
      </c>
      <c r="C11" s="13">
        <v>20</v>
      </c>
      <c r="D11" s="13">
        <v>0</v>
      </c>
      <c r="E11" s="26">
        <v>0</v>
      </c>
      <c r="F11" s="13">
        <v>0</v>
      </c>
      <c r="G11" s="26">
        <v>0</v>
      </c>
      <c r="H11" s="13"/>
      <c r="I11" s="13">
        <v>20</v>
      </c>
      <c r="J11" s="13">
        <v>19</v>
      </c>
      <c r="K11" s="13">
        <v>0</v>
      </c>
      <c r="L11" s="26">
        <v>0</v>
      </c>
      <c r="M11" s="13">
        <v>0</v>
      </c>
      <c r="N11" s="26">
        <v>0</v>
      </c>
      <c r="O11" s="13"/>
      <c r="P11" s="13">
        <v>21</v>
      </c>
      <c r="Q11" s="13">
        <v>20</v>
      </c>
      <c r="R11" s="13">
        <v>0</v>
      </c>
      <c r="S11" s="26">
        <v>0</v>
      </c>
      <c r="T11" s="13">
        <v>0</v>
      </c>
      <c r="U11" s="26">
        <v>0</v>
      </c>
      <c r="V11" s="13"/>
      <c r="W11" s="13">
        <v>21</v>
      </c>
      <c r="X11" s="13">
        <v>20</v>
      </c>
      <c r="Y11" s="13">
        <v>1</v>
      </c>
      <c r="Z11" s="26">
        <v>0.05</v>
      </c>
      <c r="AA11" s="13">
        <v>0</v>
      </c>
      <c r="AB11" s="26">
        <v>0</v>
      </c>
      <c r="AC11" s="13"/>
      <c r="AD11" s="13">
        <v>20</v>
      </c>
      <c r="AE11" s="13">
        <v>20</v>
      </c>
      <c r="AF11" s="13">
        <v>0</v>
      </c>
      <c r="AG11" s="26">
        <v>0</v>
      </c>
      <c r="AH11" s="13">
        <v>0</v>
      </c>
      <c r="AI11" s="26">
        <v>0</v>
      </c>
      <c r="AJ11" s="13"/>
      <c r="AK11" s="13">
        <v>21</v>
      </c>
      <c r="AL11" s="13">
        <v>19</v>
      </c>
      <c r="AM11" s="13"/>
      <c r="AN11" s="26">
        <v>0</v>
      </c>
      <c r="AO11" s="13"/>
      <c r="AP11" s="26">
        <v>0</v>
      </c>
      <c r="AQ11" s="13"/>
      <c r="AR11" s="281">
        <v>20</v>
      </c>
      <c r="AS11" s="281">
        <v>19</v>
      </c>
      <c r="AT11" s="281">
        <v>1</v>
      </c>
      <c r="AU11" s="84">
        <f t="shared" si="0"/>
        <v>5.2631578947368418E-2</v>
      </c>
      <c r="AV11" s="281"/>
      <c r="AW11" s="84">
        <f t="shared" si="1"/>
        <v>0</v>
      </c>
      <c r="AX11" s="159" t="str">
        <f t="shared" si="2"/>
        <v>OK</v>
      </c>
      <c r="AY11" t="s">
        <v>3</v>
      </c>
      <c r="AZ11">
        <v>20</v>
      </c>
      <c r="BA11">
        <v>19</v>
      </c>
      <c r="BB11">
        <v>1</v>
      </c>
      <c r="BC11" s="222">
        <v>5.2631578947368418E-2</v>
      </c>
      <c r="BE11" s="222">
        <v>0</v>
      </c>
    </row>
    <row r="12" spans="1:57" x14ac:dyDescent="0.25">
      <c r="A12" s="16" t="s">
        <v>32</v>
      </c>
      <c r="B12" s="13">
        <v>15</v>
      </c>
      <c r="C12" s="13">
        <v>13</v>
      </c>
      <c r="D12" s="13">
        <v>0</v>
      </c>
      <c r="E12" s="26">
        <v>0</v>
      </c>
      <c r="F12" s="13">
        <v>0</v>
      </c>
      <c r="G12" s="26">
        <v>0</v>
      </c>
      <c r="H12" s="13"/>
      <c r="I12" s="13">
        <v>16</v>
      </c>
      <c r="J12" s="13">
        <v>15</v>
      </c>
      <c r="K12" s="13">
        <v>0</v>
      </c>
      <c r="L12" s="26">
        <v>0</v>
      </c>
      <c r="M12" s="13">
        <v>0</v>
      </c>
      <c r="N12" s="26">
        <v>0</v>
      </c>
      <c r="O12" s="13"/>
      <c r="P12" s="13">
        <v>15</v>
      </c>
      <c r="Q12" s="13">
        <v>13</v>
      </c>
      <c r="R12" s="13">
        <v>1</v>
      </c>
      <c r="S12" s="26">
        <v>7.6923076923076927E-2</v>
      </c>
      <c r="T12" s="13">
        <v>1</v>
      </c>
      <c r="U12" s="26">
        <v>7.6923076923076927E-2</v>
      </c>
      <c r="V12" s="13"/>
      <c r="W12" s="13">
        <v>16</v>
      </c>
      <c r="X12" s="13">
        <v>16</v>
      </c>
      <c r="Y12" s="13">
        <v>2</v>
      </c>
      <c r="Z12" s="26">
        <v>0.125</v>
      </c>
      <c r="AA12" s="13">
        <v>0</v>
      </c>
      <c r="AB12" s="26">
        <v>0</v>
      </c>
      <c r="AC12" s="13"/>
      <c r="AD12" s="13">
        <v>16</v>
      </c>
      <c r="AE12" s="13">
        <v>16</v>
      </c>
      <c r="AF12" s="13">
        <v>1</v>
      </c>
      <c r="AG12" s="26">
        <v>6.25E-2</v>
      </c>
      <c r="AH12" s="13">
        <v>1</v>
      </c>
      <c r="AI12" s="26">
        <v>6.25E-2</v>
      </c>
      <c r="AJ12" s="13"/>
      <c r="AK12" s="13">
        <v>16</v>
      </c>
      <c r="AL12" s="13">
        <v>14</v>
      </c>
      <c r="AM12" s="13"/>
      <c r="AN12" s="26">
        <v>0</v>
      </c>
      <c r="AO12" s="13"/>
      <c r="AP12" s="26">
        <v>0</v>
      </c>
      <c r="AQ12" s="13"/>
      <c r="AR12" s="281">
        <v>17</v>
      </c>
      <c r="AS12" s="281">
        <v>16</v>
      </c>
      <c r="AT12" s="281"/>
      <c r="AU12" s="84">
        <f t="shared" si="0"/>
        <v>0</v>
      </c>
      <c r="AV12" s="281"/>
      <c r="AW12" s="84">
        <f t="shared" si="1"/>
        <v>0</v>
      </c>
      <c r="AX12" s="159" t="str">
        <f t="shared" si="2"/>
        <v>No</v>
      </c>
      <c r="AY12" t="s">
        <v>379</v>
      </c>
      <c r="AZ12">
        <v>17</v>
      </c>
      <c r="BA12">
        <v>16</v>
      </c>
      <c r="BC12" s="222">
        <v>0</v>
      </c>
      <c r="BE12" s="222">
        <v>0</v>
      </c>
    </row>
    <row r="13" spans="1:57" x14ac:dyDescent="0.25">
      <c r="A13" s="16" t="s">
        <v>22</v>
      </c>
      <c r="B13" s="13">
        <v>187</v>
      </c>
      <c r="C13" s="13">
        <v>166</v>
      </c>
      <c r="D13" s="13">
        <v>23</v>
      </c>
      <c r="E13" s="26">
        <v>0.13855421686746988</v>
      </c>
      <c r="F13" s="13">
        <v>12</v>
      </c>
      <c r="G13" s="26">
        <v>7.2289156626506021E-2</v>
      </c>
      <c r="H13" s="13"/>
      <c r="I13" s="13">
        <v>186</v>
      </c>
      <c r="J13" s="13">
        <v>166</v>
      </c>
      <c r="K13" s="13">
        <v>21</v>
      </c>
      <c r="L13" s="26">
        <v>0.12650602409638553</v>
      </c>
      <c r="M13" s="13">
        <v>10</v>
      </c>
      <c r="N13" s="26">
        <v>6.0240963855421686E-2</v>
      </c>
      <c r="O13" s="13"/>
      <c r="P13" s="13">
        <v>179</v>
      </c>
      <c r="Q13" s="13">
        <v>163</v>
      </c>
      <c r="R13" s="13">
        <v>19</v>
      </c>
      <c r="S13" s="26">
        <v>0.1165644171779141</v>
      </c>
      <c r="T13" s="13">
        <v>9</v>
      </c>
      <c r="U13" s="26">
        <v>5.5214723926380369E-2</v>
      </c>
      <c r="V13" s="13"/>
      <c r="W13" s="13">
        <v>170</v>
      </c>
      <c r="X13" s="13">
        <v>149</v>
      </c>
      <c r="Y13" s="13">
        <v>16</v>
      </c>
      <c r="Z13" s="26">
        <v>0.10738255033557047</v>
      </c>
      <c r="AA13" s="13">
        <v>6</v>
      </c>
      <c r="AB13" s="26">
        <v>4.0268456375838924E-2</v>
      </c>
      <c r="AC13" s="13"/>
      <c r="AD13" s="13">
        <v>170</v>
      </c>
      <c r="AE13" s="13">
        <v>158</v>
      </c>
      <c r="AF13" s="13">
        <v>9</v>
      </c>
      <c r="AG13" s="26">
        <v>5.6962025316455694E-2</v>
      </c>
      <c r="AH13" s="13">
        <v>4</v>
      </c>
      <c r="AI13" s="26">
        <v>2.5316455696202531E-2</v>
      </c>
      <c r="AJ13" s="13"/>
      <c r="AK13" s="13">
        <v>180</v>
      </c>
      <c r="AL13" s="13">
        <v>159</v>
      </c>
      <c r="AM13" s="13">
        <v>11</v>
      </c>
      <c r="AN13" s="26">
        <v>6.9182389937106917E-2</v>
      </c>
      <c r="AO13" s="13">
        <v>7</v>
      </c>
      <c r="AP13" s="26">
        <v>4.40251572327044E-2</v>
      </c>
      <c r="AQ13" s="13"/>
      <c r="AR13" s="281">
        <v>167</v>
      </c>
      <c r="AS13" s="281">
        <v>158</v>
      </c>
      <c r="AT13" s="281">
        <v>10</v>
      </c>
      <c r="AU13" s="84">
        <f t="shared" si="0"/>
        <v>6.3291139240506333E-2</v>
      </c>
      <c r="AV13" s="281">
        <v>1</v>
      </c>
      <c r="AW13" s="84">
        <f t="shared" si="1"/>
        <v>6.3291139240506328E-3</v>
      </c>
      <c r="AX13" s="159" t="str">
        <f t="shared" si="2"/>
        <v>No</v>
      </c>
      <c r="AY13" t="s">
        <v>319</v>
      </c>
      <c r="AZ13">
        <v>167</v>
      </c>
      <c r="BA13">
        <v>158</v>
      </c>
      <c r="BB13">
        <v>10</v>
      </c>
      <c r="BC13" s="222">
        <v>6.3291139240506333E-2</v>
      </c>
      <c r="BD13">
        <v>1</v>
      </c>
      <c r="BE13" s="222">
        <v>6.3291139240506328E-3</v>
      </c>
    </row>
    <row r="14" spans="1:57" x14ac:dyDescent="0.25">
      <c r="A14" s="16" t="s">
        <v>4</v>
      </c>
      <c r="B14" s="13">
        <v>201</v>
      </c>
      <c r="C14" s="13">
        <v>184</v>
      </c>
      <c r="D14" s="13">
        <v>11</v>
      </c>
      <c r="E14" s="26">
        <v>5.9782608695652176E-2</v>
      </c>
      <c r="F14" s="13">
        <v>1</v>
      </c>
      <c r="G14" s="26">
        <v>5.434782608695652E-3</v>
      </c>
      <c r="H14" s="13"/>
      <c r="I14" s="13">
        <v>205</v>
      </c>
      <c r="J14" s="13">
        <v>186</v>
      </c>
      <c r="K14" s="13">
        <v>4</v>
      </c>
      <c r="L14" s="26">
        <v>2.1505376344086023E-2</v>
      </c>
      <c r="M14" s="13">
        <v>1</v>
      </c>
      <c r="N14" s="26">
        <v>5.3763440860215058E-3</v>
      </c>
      <c r="O14" s="13"/>
      <c r="P14" s="13">
        <v>234</v>
      </c>
      <c r="Q14" s="13">
        <v>201</v>
      </c>
      <c r="R14" s="13">
        <v>3</v>
      </c>
      <c r="S14" s="26">
        <v>1.4925373134328358E-2</v>
      </c>
      <c r="T14" s="13">
        <v>2</v>
      </c>
      <c r="U14" s="26">
        <v>9.9502487562189053E-3</v>
      </c>
      <c r="V14" s="13"/>
      <c r="W14" s="13">
        <v>231</v>
      </c>
      <c r="X14" s="13">
        <v>209</v>
      </c>
      <c r="Y14" s="13">
        <v>8</v>
      </c>
      <c r="Z14" s="26">
        <v>3.8277511961722487E-2</v>
      </c>
      <c r="AA14" s="13">
        <v>2</v>
      </c>
      <c r="AB14" s="26">
        <v>9.5693779904306216E-3</v>
      </c>
      <c r="AC14" s="13"/>
      <c r="AD14" s="13">
        <v>250</v>
      </c>
      <c r="AE14" s="13">
        <v>233</v>
      </c>
      <c r="AF14" s="13">
        <v>12</v>
      </c>
      <c r="AG14" s="26">
        <v>5.1502145922746781E-2</v>
      </c>
      <c r="AH14" s="13">
        <v>1</v>
      </c>
      <c r="AI14" s="26">
        <v>4.2918454935622317E-3</v>
      </c>
      <c r="AJ14" s="13"/>
      <c r="AK14" s="13">
        <v>254</v>
      </c>
      <c r="AL14" s="13">
        <v>222</v>
      </c>
      <c r="AM14" s="13">
        <v>6</v>
      </c>
      <c r="AN14" s="26">
        <v>2.7027027027027029E-2</v>
      </c>
      <c r="AO14" s="13">
        <v>2</v>
      </c>
      <c r="AP14" s="26">
        <v>9.0090090090090089E-3</v>
      </c>
      <c r="AQ14" s="13"/>
      <c r="AR14" s="281">
        <v>265</v>
      </c>
      <c r="AS14" s="281">
        <v>252</v>
      </c>
      <c r="AT14" s="281">
        <v>6</v>
      </c>
      <c r="AU14" s="84">
        <f t="shared" si="0"/>
        <v>2.3809523809523808E-2</v>
      </c>
      <c r="AV14" s="281">
        <v>7</v>
      </c>
      <c r="AW14" s="84">
        <f t="shared" si="1"/>
        <v>2.7777777777777776E-2</v>
      </c>
      <c r="AX14" s="159" t="str">
        <f t="shared" si="2"/>
        <v>OK</v>
      </c>
      <c r="AY14" t="s">
        <v>4</v>
      </c>
      <c r="AZ14">
        <v>265</v>
      </c>
      <c r="BA14">
        <v>252</v>
      </c>
      <c r="BB14">
        <v>6</v>
      </c>
      <c r="BC14" s="222">
        <v>2.3809523809523808E-2</v>
      </c>
      <c r="BD14">
        <v>7</v>
      </c>
      <c r="BE14" s="222">
        <v>2.7777777777777776E-2</v>
      </c>
    </row>
    <row r="15" spans="1:57" x14ac:dyDescent="0.25">
      <c r="A15" s="16" t="s">
        <v>27</v>
      </c>
      <c r="B15" s="13">
        <v>67</v>
      </c>
      <c r="C15" s="13">
        <v>63</v>
      </c>
      <c r="D15" s="13">
        <v>3</v>
      </c>
      <c r="E15" s="26">
        <v>4.7619047619047616E-2</v>
      </c>
      <c r="F15" s="13">
        <v>1</v>
      </c>
      <c r="G15" s="26">
        <v>1.5873015873015872E-2</v>
      </c>
      <c r="H15" s="13"/>
      <c r="I15" s="13">
        <v>55</v>
      </c>
      <c r="J15" s="13">
        <v>53</v>
      </c>
      <c r="K15" s="13">
        <v>3</v>
      </c>
      <c r="L15" s="26">
        <v>5.6603773584905662E-2</v>
      </c>
      <c r="M15" s="13">
        <v>1</v>
      </c>
      <c r="N15" s="26">
        <v>1.8867924528301886E-2</v>
      </c>
      <c r="O15" s="13"/>
      <c r="P15" s="13">
        <v>52</v>
      </c>
      <c r="Q15" s="13">
        <v>51</v>
      </c>
      <c r="R15" s="13">
        <v>3</v>
      </c>
      <c r="S15" s="26">
        <v>5.8823529411764705E-2</v>
      </c>
      <c r="T15" s="13">
        <v>2</v>
      </c>
      <c r="U15" s="26">
        <v>3.9215686274509803E-2</v>
      </c>
      <c r="V15" s="13"/>
      <c r="W15" s="13">
        <v>47</v>
      </c>
      <c r="X15" s="13">
        <v>45</v>
      </c>
      <c r="Y15" s="13">
        <v>0</v>
      </c>
      <c r="Z15" s="26">
        <v>0</v>
      </c>
      <c r="AA15" s="13">
        <v>1</v>
      </c>
      <c r="AB15" s="26">
        <v>2.2222222222222223E-2</v>
      </c>
      <c r="AC15" s="13"/>
      <c r="AD15" s="13">
        <v>45</v>
      </c>
      <c r="AE15" s="13">
        <v>40</v>
      </c>
      <c r="AF15" s="13">
        <v>2</v>
      </c>
      <c r="AG15" s="26">
        <v>0.05</v>
      </c>
      <c r="AH15" s="13">
        <v>1</v>
      </c>
      <c r="AI15" s="26">
        <v>2.5000000000000001E-2</v>
      </c>
      <c r="AJ15" s="13"/>
      <c r="AK15" s="13">
        <v>43</v>
      </c>
      <c r="AL15" s="13">
        <v>42</v>
      </c>
      <c r="AM15" s="13"/>
      <c r="AN15" s="26">
        <v>0</v>
      </c>
      <c r="AO15" s="13">
        <v>5</v>
      </c>
      <c r="AP15" s="26">
        <v>0.11904761904761904</v>
      </c>
      <c r="AQ15" s="13"/>
      <c r="AR15" s="281">
        <v>43</v>
      </c>
      <c r="AS15" s="281">
        <v>42</v>
      </c>
      <c r="AT15" s="281">
        <v>1</v>
      </c>
      <c r="AU15" s="84">
        <f t="shared" si="0"/>
        <v>2.3809523809523808E-2</v>
      </c>
      <c r="AV15" s="281">
        <v>7</v>
      </c>
      <c r="AW15" s="84">
        <f t="shared" si="1"/>
        <v>0.16666666666666666</v>
      </c>
      <c r="AX15" s="159" t="str">
        <f t="shared" si="2"/>
        <v>OK</v>
      </c>
      <c r="AY15" t="s">
        <v>27</v>
      </c>
      <c r="AZ15">
        <v>43</v>
      </c>
      <c r="BA15">
        <v>42</v>
      </c>
      <c r="BB15">
        <v>1</v>
      </c>
      <c r="BC15" s="222">
        <v>2.3809523809523808E-2</v>
      </c>
      <c r="BD15">
        <v>7</v>
      </c>
      <c r="BE15" s="222">
        <v>0.16666666666666666</v>
      </c>
    </row>
    <row r="16" spans="1:57" x14ac:dyDescent="0.25">
      <c r="A16" s="16" t="s">
        <v>28</v>
      </c>
      <c r="B16" s="13">
        <v>20</v>
      </c>
      <c r="C16" s="13">
        <v>20</v>
      </c>
      <c r="D16" s="13">
        <v>0</v>
      </c>
      <c r="E16" s="26">
        <v>0</v>
      </c>
      <c r="F16" s="13">
        <v>0</v>
      </c>
      <c r="G16" s="26">
        <v>0</v>
      </c>
      <c r="H16" s="13"/>
      <c r="I16" s="13">
        <v>25</v>
      </c>
      <c r="J16" s="13">
        <v>21</v>
      </c>
      <c r="K16" s="13">
        <v>0</v>
      </c>
      <c r="L16" s="26">
        <v>0</v>
      </c>
      <c r="M16" s="13">
        <v>0</v>
      </c>
      <c r="N16" s="26">
        <v>0</v>
      </c>
      <c r="O16" s="13"/>
      <c r="P16" s="13">
        <v>25</v>
      </c>
      <c r="Q16" s="13">
        <v>23</v>
      </c>
      <c r="R16" s="13">
        <v>0</v>
      </c>
      <c r="S16" s="26">
        <v>0</v>
      </c>
      <c r="T16" s="13">
        <v>2</v>
      </c>
      <c r="U16" s="26">
        <v>8.6956521739130432E-2</v>
      </c>
      <c r="V16" s="13"/>
      <c r="W16" s="13">
        <v>21</v>
      </c>
      <c r="X16" s="13">
        <v>20</v>
      </c>
      <c r="Y16" s="13">
        <v>1</v>
      </c>
      <c r="Z16" s="26">
        <v>0.05</v>
      </c>
      <c r="AA16" s="13">
        <v>0</v>
      </c>
      <c r="AB16" s="26">
        <v>0</v>
      </c>
      <c r="AC16" s="13"/>
      <c r="AD16" s="13">
        <v>22</v>
      </c>
      <c r="AE16" s="13">
        <v>21</v>
      </c>
      <c r="AF16" s="13">
        <v>1</v>
      </c>
      <c r="AG16" s="26">
        <v>4.7619047619047616E-2</v>
      </c>
      <c r="AH16" s="13">
        <v>0</v>
      </c>
      <c r="AI16" s="26">
        <v>0</v>
      </c>
      <c r="AJ16" s="13"/>
      <c r="AK16" s="13">
        <v>22</v>
      </c>
      <c r="AL16" s="13">
        <v>20</v>
      </c>
      <c r="AM16" s="13">
        <v>1</v>
      </c>
      <c r="AN16" s="26">
        <v>0.05</v>
      </c>
      <c r="AO16" s="13"/>
      <c r="AP16" s="26">
        <v>0</v>
      </c>
      <c r="AQ16" s="13"/>
      <c r="AR16" s="281">
        <v>24</v>
      </c>
      <c r="AS16" s="281">
        <v>23</v>
      </c>
      <c r="AT16" s="281">
        <v>1</v>
      </c>
      <c r="AU16" s="84">
        <f t="shared" si="0"/>
        <v>4.3478260869565216E-2</v>
      </c>
      <c r="AV16" s="281">
        <v>1</v>
      </c>
      <c r="AW16" s="84">
        <f t="shared" si="1"/>
        <v>4.3478260869565216E-2</v>
      </c>
      <c r="AX16" s="159" t="str">
        <f t="shared" si="2"/>
        <v>OK</v>
      </c>
      <c r="AY16" t="s">
        <v>28</v>
      </c>
      <c r="AZ16">
        <v>24</v>
      </c>
      <c r="BA16">
        <v>23</v>
      </c>
      <c r="BB16">
        <v>1</v>
      </c>
      <c r="BC16" s="222">
        <v>4.3478260869565216E-2</v>
      </c>
      <c r="BD16">
        <v>1</v>
      </c>
      <c r="BE16" s="222">
        <v>4.3478260869565216E-2</v>
      </c>
    </row>
    <row r="17" spans="1:57" x14ac:dyDescent="0.25">
      <c r="A17" s="16" t="s">
        <v>5</v>
      </c>
      <c r="B17" s="13">
        <v>30</v>
      </c>
      <c r="C17" s="13">
        <v>27</v>
      </c>
      <c r="D17" s="13">
        <v>2</v>
      </c>
      <c r="E17" s="26">
        <v>7.407407407407407E-2</v>
      </c>
      <c r="F17" s="13">
        <v>0</v>
      </c>
      <c r="G17" s="26">
        <v>0</v>
      </c>
      <c r="H17" s="13"/>
      <c r="I17" s="13">
        <v>29</v>
      </c>
      <c r="J17" s="13">
        <v>28</v>
      </c>
      <c r="K17" s="13">
        <v>0</v>
      </c>
      <c r="L17" s="26">
        <v>0</v>
      </c>
      <c r="M17" s="13">
        <v>0</v>
      </c>
      <c r="N17" s="26">
        <v>0</v>
      </c>
      <c r="O17" s="13"/>
      <c r="P17" s="13">
        <v>30</v>
      </c>
      <c r="Q17" s="13">
        <v>26</v>
      </c>
      <c r="R17" s="13">
        <v>3</v>
      </c>
      <c r="S17" s="26">
        <v>0.11538461538461539</v>
      </c>
      <c r="T17" s="13">
        <v>1</v>
      </c>
      <c r="U17" s="26">
        <v>3.8461538461538464E-2</v>
      </c>
      <c r="V17" s="13"/>
      <c r="W17" s="13">
        <v>26</v>
      </c>
      <c r="X17" s="13">
        <v>24</v>
      </c>
      <c r="Y17" s="13">
        <v>0</v>
      </c>
      <c r="Z17" s="26">
        <v>0</v>
      </c>
      <c r="AA17" s="13">
        <v>1</v>
      </c>
      <c r="AB17" s="26">
        <v>4.1666666666666664E-2</v>
      </c>
      <c r="AC17" s="13"/>
      <c r="AD17" s="13">
        <v>28</v>
      </c>
      <c r="AE17" s="13">
        <v>26</v>
      </c>
      <c r="AF17" s="13">
        <v>1</v>
      </c>
      <c r="AG17" s="26">
        <v>3.8461538461538464E-2</v>
      </c>
      <c r="AH17" s="13">
        <v>0</v>
      </c>
      <c r="AI17" s="26">
        <v>0</v>
      </c>
      <c r="AJ17" s="13"/>
      <c r="AK17" s="13">
        <v>36</v>
      </c>
      <c r="AL17" s="13">
        <v>30</v>
      </c>
      <c r="AM17" s="13">
        <v>2</v>
      </c>
      <c r="AN17" s="26">
        <v>6.6666666666666666E-2</v>
      </c>
      <c r="AO17" s="13"/>
      <c r="AP17" s="26">
        <v>0</v>
      </c>
      <c r="AQ17" s="13"/>
      <c r="AR17" s="281">
        <v>33</v>
      </c>
      <c r="AS17" s="281">
        <v>33</v>
      </c>
      <c r="AT17" s="281"/>
      <c r="AU17" s="84">
        <f t="shared" si="0"/>
        <v>0</v>
      </c>
      <c r="AV17" s="281"/>
      <c r="AW17" s="84">
        <f t="shared" si="1"/>
        <v>0</v>
      </c>
      <c r="AX17" s="159" t="str">
        <f t="shared" si="2"/>
        <v>OK</v>
      </c>
      <c r="AY17" t="s">
        <v>5</v>
      </c>
      <c r="AZ17">
        <v>33</v>
      </c>
      <c r="BA17">
        <v>33</v>
      </c>
      <c r="BC17" s="222">
        <v>0</v>
      </c>
      <c r="BE17" s="222">
        <v>0</v>
      </c>
    </row>
    <row r="18" spans="1:57" x14ac:dyDescent="0.25">
      <c r="A18" s="16" t="s">
        <v>21</v>
      </c>
      <c r="B18" s="13">
        <v>505</v>
      </c>
      <c r="C18" s="13">
        <v>462</v>
      </c>
      <c r="D18" s="13">
        <v>38</v>
      </c>
      <c r="E18" s="26">
        <v>8.2251082251082255E-2</v>
      </c>
      <c r="F18" s="13">
        <v>18</v>
      </c>
      <c r="G18" s="26">
        <v>3.896103896103896E-2</v>
      </c>
      <c r="H18" s="13"/>
      <c r="I18" s="13">
        <v>538</v>
      </c>
      <c r="J18" s="13">
        <v>479</v>
      </c>
      <c r="K18" s="13">
        <v>37</v>
      </c>
      <c r="L18" s="26">
        <v>7.724425887265135E-2</v>
      </c>
      <c r="M18" s="13">
        <v>17</v>
      </c>
      <c r="N18" s="26">
        <v>3.5490605427974949E-2</v>
      </c>
      <c r="O18" s="13"/>
      <c r="P18" s="13">
        <v>506</v>
      </c>
      <c r="Q18" s="13">
        <v>465</v>
      </c>
      <c r="R18" s="13">
        <v>43</v>
      </c>
      <c r="S18" s="26">
        <v>9.2473118279569888E-2</v>
      </c>
      <c r="T18" s="13">
        <v>14</v>
      </c>
      <c r="U18" s="26">
        <v>3.0107526881720432E-2</v>
      </c>
      <c r="V18" s="13"/>
      <c r="W18" s="13">
        <v>501</v>
      </c>
      <c r="X18" s="13">
        <v>450</v>
      </c>
      <c r="Y18" s="13">
        <v>33</v>
      </c>
      <c r="Z18" s="26">
        <v>7.3333333333333334E-2</v>
      </c>
      <c r="AA18" s="13">
        <v>12</v>
      </c>
      <c r="AB18" s="26">
        <v>2.6666666666666668E-2</v>
      </c>
      <c r="AC18" s="13"/>
      <c r="AD18" s="13">
        <v>492</v>
      </c>
      <c r="AE18" s="13">
        <v>442</v>
      </c>
      <c r="AF18" s="13">
        <v>29</v>
      </c>
      <c r="AG18" s="26">
        <v>6.561085972850679E-2</v>
      </c>
      <c r="AH18" s="13">
        <v>7</v>
      </c>
      <c r="AI18" s="26">
        <v>1.5837104072398189E-2</v>
      </c>
      <c r="AJ18" s="13"/>
      <c r="AK18" s="13">
        <v>487</v>
      </c>
      <c r="AL18" s="13">
        <v>450</v>
      </c>
      <c r="AM18" s="13">
        <v>28</v>
      </c>
      <c r="AN18" s="26">
        <v>6.222222222222222E-2</v>
      </c>
      <c r="AO18" s="13">
        <v>13</v>
      </c>
      <c r="AP18" s="26">
        <v>2.8888888888888888E-2</v>
      </c>
      <c r="AQ18" s="13"/>
      <c r="AR18" s="281">
        <v>469</v>
      </c>
      <c r="AS18" s="281">
        <v>444</v>
      </c>
      <c r="AT18" s="281">
        <v>29</v>
      </c>
      <c r="AU18" s="84">
        <f t="shared" si="0"/>
        <v>6.5315315315315314E-2</v>
      </c>
      <c r="AV18" s="281">
        <v>8</v>
      </c>
      <c r="AW18" s="84">
        <f t="shared" si="1"/>
        <v>1.8018018018018018E-2</v>
      </c>
      <c r="AX18" s="159" t="str">
        <f t="shared" si="2"/>
        <v>OK</v>
      </c>
      <c r="AY18" t="s">
        <v>21</v>
      </c>
      <c r="AZ18">
        <v>469</v>
      </c>
      <c r="BA18">
        <v>444</v>
      </c>
      <c r="BB18">
        <v>29</v>
      </c>
      <c r="BC18" s="222">
        <v>6.5315315315315314E-2</v>
      </c>
      <c r="BD18">
        <v>8</v>
      </c>
      <c r="BE18" s="222">
        <v>1.8018018018018018E-2</v>
      </c>
    </row>
    <row r="19" spans="1:57" x14ac:dyDescent="0.25">
      <c r="A19" s="16" t="s">
        <v>7</v>
      </c>
      <c r="B19" s="13">
        <v>247</v>
      </c>
      <c r="C19" s="13">
        <v>236</v>
      </c>
      <c r="D19" s="13">
        <v>24</v>
      </c>
      <c r="E19" s="26">
        <v>0.10169491525423729</v>
      </c>
      <c r="F19" s="13">
        <v>12</v>
      </c>
      <c r="G19" s="26">
        <v>5.0847457627118647E-2</v>
      </c>
      <c r="H19" s="13"/>
      <c r="I19" s="13">
        <v>237</v>
      </c>
      <c r="J19" s="13">
        <v>232</v>
      </c>
      <c r="K19" s="13">
        <v>18</v>
      </c>
      <c r="L19" s="26">
        <v>7.7586206896551727E-2</v>
      </c>
      <c r="M19" s="13">
        <v>13</v>
      </c>
      <c r="N19" s="26">
        <v>5.6034482758620691E-2</v>
      </c>
      <c r="O19" s="13"/>
      <c r="P19" s="13">
        <v>222</v>
      </c>
      <c r="Q19" s="13">
        <v>209</v>
      </c>
      <c r="R19" s="13">
        <v>15</v>
      </c>
      <c r="S19" s="26">
        <v>7.1770334928229665E-2</v>
      </c>
      <c r="T19" s="13">
        <v>14</v>
      </c>
      <c r="U19" s="26">
        <v>6.6985645933014357E-2</v>
      </c>
      <c r="V19" s="13"/>
      <c r="W19" s="13">
        <v>212</v>
      </c>
      <c r="X19" s="13">
        <v>205</v>
      </c>
      <c r="Y19" s="13">
        <v>14</v>
      </c>
      <c r="Z19" s="26">
        <v>6.8292682926829273E-2</v>
      </c>
      <c r="AA19" s="13">
        <v>6</v>
      </c>
      <c r="AB19" s="26">
        <v>2.9268292682926831E-2</v>
      </c>
      <c r="AC19" s="13"/>
      <c r="AD19" s="13">
        <v>205</v>
      </c>
      <c r="AE19" s="13">
        <v>191</v>
      </c>
      <c r="AF19" s="13">
        <v>7</v>
      </c>
      <c r="AG19" s="26">
        <v>3.6649214659685861E-2</v>
      </c>
      <c r="AH19" s="13">
        <v>10</v>
      </c>
      <c r="AI19" s="26">
        <v>5.2356020942408377E-2</v>
      </c>
      <c r="AJ19" s="13"/>
      <c r="AK19" s="13">
        <v>183</v>
      </c>
      <c r="AL19" s="13">
        <v>174</v>
      </c>
      <c r="AM19" s="13">
        <v>8</v>
      </c>
      <c r="AN19" s="26">
        <v>4.5977011494252873E-2</v>
      </c>
      <c r="AO19" s="13">
        <v>7</v>
      </c>
      <c r="AP19" s="26">
        <v>4.0229885057471264E-2</v>
      </c>
      <c r="AQ19" s="13"/>
      <c r="AR19" s="281">
        <v>181</v>
      </c>
      <c r="AS19" s="281">
        <v>177</v>
      </c>
      <c r="AT19" s="281">
        <v>6</v>
      </c>
      <c r="AU19" s="84">
        <f t="shared" si="0"/>
        <v>3.3898305084745763E-2</v>
      </c>
      <c r="AV19" s="281">
        <v>6</v>
      </c>
      <c r="AW19" s="84">
        <f t="shared" si="1"/>
        <v>3.3898305084745763E-2</v>
      </c>
      <c r="AX19" s="159" t="str">
        <f t="shared" si="2"/>
        <v>OK</v>
      </c>
      <c r="AY19" t="s">
        <v>7</v>
      </c>
      <c r="AZ19">
        <v>181</v>
      </c>
      <c r="BA19">
        <v>177</v>
      </c>
      <c r="BB19">
        <v>6</v>
      </c>
      <c r="BC19" s="222">
        <v>3.3898305084745763E-2</v>
      </c>
      <c r="BD19">
        <v>6</v>
      </c>
      <c r="BE19" s="222">
        <v>3.3898305084745763E-2</v>
      </c>
    </row>
    <row r="20" spans="1:57" x14ac:dyDescent="0.25">
      <c r="A20" s="16" t="s">
        <v>6</v>
      </c>
      <c r="B20" s="13">
        <v>22</v>
      </c>
      <c r="C20" s="13">
        <v>20</v>
      </c>
      <c r="D20" s="13">
        <v>0</v>
      </c>
      <c r="E20" s="26">
        <v>0</v>
      </c>
      <c r="F20" s="13">
        <v>0</v>
      </c>
      <c r="G20" s="26">
        <v>0</v>
      </c>
      <c r="H20" s="13"/>
      <c r="I20" s="13">
        <v>21</v>
      </c>
      <c r="J20" s="13">
        <v>17</v>
      </c>
      <c r="K20" s="13">
        <v>1</v>
      </c>
      <c r="L20" s="26">
        <v>5.8823529411764705E-2</v>
      </c>
      <c r="M20" s="13">
        <v>0</v>
      </c>
      <c r="N20" s="26">
        <v>0</v>
      </c>
      <c r="O20" s="13"/>
      <c r="P20" s="13">
        <v>21</v>
      </c>
      <c r="Q20" s="13">
        <v>18</v>
      </c>
      <c r="R20" s="13">
        <v>0</v>
      </c>
      <c r="S20" s="26">
        <v>0</v>
      </c>
      <c r="T20" s="13">
        <v>0</v>
      </c>
      <c r="U20" s="26">
        <v>0</v>
      </c>
      <c r="V20" s="13"/>
      <c r="W20" s="13">
        <v>21</v>
      </c>
      <c r="X20" s="13">
        <v>20</v>
      </c>
      <c r="Y20" s="13">
        <v>0</v>
      </c>
      <c r="Z20" s="26">
        <v>0</v>
      </c>
      <c r="AA20" s="13">
        <v>0</v>
      </c>
      <c r="AB20" s="26">
        <v>0</v>
      </c>
      <c r="AC20" s="13"/>
      <c r="AD20" s="13">
        <v>24</v>
      </c>
      <c r="AE20" s="13">
        <v>23</v>
      </c>
      <c r="AF20" s="13">
        <v>0</v>
      </c>
      <c r="AG20" s="26">
        <v>0</v>
      </c>
      <c r="AH20" s="13">
        <v>0</v>
      </c>
      <c r="AI20" s="26">
        <v>0</v>
      </c>
      <c r="AJ20" s="13"/>
      <c r="AK20" s="13">
        <v>24</v>
      </c>
      <c r="AL20" s="13">
        <v>23</v>
      </c>
      <c r="AM20" s="13"/>
      <c r="AN20" s="26">
        <v>0</v>
      </c>
      <c r="AO20" s="13"/>
      <c r="AP20" s="26">
        <v>0</v>
      </c>
      <c r="AQ20" s="13"/>
      <c r="AR20" s="281">
        <v>22</v>
      </c>
      <c r="AS20" s="281">
        <v>22</v>
      </c>
      <c r="AT20" s="281"/>
      <c r="AU20" s="84">
        <f t="shared" si="0"/>
        <v>0</v>
      </c>
      <c r="AV20" s="281"/>
      <c r="AW20" s="84">
        <f t="shared" si="1"/>
        <v>0</v>
      </c>
      <c r="AX20" s="159" t="str">
        <f t="shared" si="2"/>
        <v>OK</v>
      </c>
      <c r="AY20" t="s">
        <v>6</v>
      </c>
      <c r="AZ20">
        <v>22</v>
      </c>
      <c r="BA20">
        <v>22</v>
      </c>
      <c r="BC20" s="222">
        <v>0</v>
      </c>
      <c r="BE20" s="222">
        <v>0</v>
      </c>
    </row>
    <row r="21" spans="1:57" x14ac:dyDescent="0.25">
      <c r="A21" s="16" t="s">
        <v>29</v>
      </c>
      <c r="B21" s="13">
        <v>17</v>
      </c>
      <c r="C21" s="13">
        <v>17</v>
      </c>
      <c r="D21" s="13">
        <v>8</v>
      </c>
      <c r="E21" s="26">
        <v>0.47058823529411764</v>
      </c>
      <c r="F21" s="13">
        <v>0</v>
      </c>
      <c r="G21" s="26">
        <v>0</v>
      </c>
      <c r="H21" s="13"/>
      <c r="I21" s="13">
        <v>16</v>
      </c>
      <c r="J21" s="13">
        <v>15</v>
      </c>
      <c r="K21" s="13">
        <v>5</v>
      </c>
      <c r="L21" s="26">
        <v>0.33333333333333331</v>
      </c>
      <c r="M21" s="13">
        <v>1</v>
      </c>
      <c r="N21" s="26">
        <v>6.6666666666666666E-2</v>
      </c>
      <c r="O21" s="13"/>
      <c r="P21" s="13">
        <v>18</v>
      </c>
      <c r="Q21" s="13">
        <v>16</v>
      </c>
      <c r="R21" s="13">
        <v>2</v>
      </c>
      <c r="S21" s="26">
        <v>0.125</v>
      </c>
      <c r="T21" s="13">
        <v>0</v>
      </c>
      <c r="U21" s="26">
        <v>0</v>
      </c>
      <c r="V21" s="13"/>
      <c r="W21" s="13">
        <v>19</v>
      </c>
      <c r="X21" s="13">
        <v>18</v>
      </c>
      <c r="Y21" s="13">
        <v>3</v>
      </c>
      <c r="Z21" s="26">
        <v>0.16666666666666666</v>
      </c>
      <c r="AA21" s="13">
        <v>0</v>
      </c>
      <c r="AB21" s="26">
        <v>0</v>
      </c>
      <c r="AC21" s="13"/>
      <c r="AD21" s="13">
        <v>19</v>
      </c>
      <c r="AE21" s="13">
        <v>17</v>
      </c>
      <c r="AF21" s="13">
        <v>0</v>
      </c>
      <c r="AG21" s="26">
        <v>0</v>
      </c>
      <c r="AH21" s="13">
        <v>0</v>
      </c>
      <c r="AI21" s="26">
        <v>0</v>
      </c>
      <c r="AJ21" s="13"/>
      <c r="AK21" s="13">
        <v>18</v>
      </c>
      <c r="AL21" s="13">
        <v>18</v>
      </c>
      <c r="AM21" s="13"/>
      <c r="AN21" s="26">
        <v>0</v>
      </c>
      <c r="AO21" s="13"/>
      <c r="AP21" s="26">
        <v>0</v>
      </c>
      <c r="AQ21" s="13"/>
      <c r="AR21" s="281">
        <v>17</v>
      </c>
      <c r="AS21" s="281">
        <v>17</v>
      </c>
      <c r="AT21" s="281"/>
      <c r="AU21" s="84">
        <f t="shared" si="0"/>
        <v>0</v>
      </c>
      <c r="AV21" s="281"/>
      <c r="AW21" s="84">
        <f t="shared" si="1"/>
        <v>0</v>
      </c>
      <c r="AX21" s="159" t="str">
        <f t="shared" si="2"/>
        <v>OK</v>
      </c>
      <c r="AY21" t="s">
        <v>29</v>
      </c>
      <c r="AZ21">
        <v>17</v>
      </c>
      <c r="BA21">
        <v>17</v>
      </c>
      <c r="BC21" s="222">
        <v>0</v>
      </c>
      <c r="BE21" s="222">
        <v>0</v>
      </c>
    </row>
    <row r="22" spans="1:57" x14ac:dyDescent="0.25">
      <c r="A22" s="16" t="s">
        <v>8</v>
      </c>
      <c r="B22" s="13">
        <v>117</v>
      </c>
      <c r="C22" s="13">
        <v>108</v>
      </c>
      <c r="D22" s="13">
        <v>4</v>
      </c>
      <c r="E22" s="26">
        <v>3.7037037037037035E-2</v>
      </c>
      <c r="F22" s="13">
        <v>1</v>
      </c>
      <c r="G22" s="26">
        <v>9.2592592592592587E-3</v>
      </c>
      <c r="H22" s="13"/>
      <c r="I22" s="13">
        <v>122</v>
      </c>
      <c r="J22" s="13">
        <v>116</v>
      </c>
      <c r="K22" s="13">
        <v>6</v>
      </c>
      <c r="L22" s="26">
        <v>5.1724137931034482E-2</v>
      </c>
      <c r="M22" s="13">
        <v>2</v>
      </c>
      <c r="N22" s="26">
        <v>1.7241379310344827E-2</v>
      </c>
      <c r="O22" s="13"/>
      <c r="P22" s="13">
        <v>113</v>
      </c>
      <c r="Q22" s="13">
        <v>109</v>
      </c>
      <c r="R22" s="13">
        <v>2</v>
      </c>
      <c r="S22" s="26">
        <v>1.834862385321101E-2</v>
      </c>
      <c r="T22" s="13">
        <v>0</v>
      </c>
      <c r="U22" s="26">
        <v>0</v>
      </c>
      <c r="V22" s="13"/>
      <c r="W22" s="13">
        <v>118</v>
      </c>
      <c r="X22" s="13">
        <v>115</v>
      </c>
      <c r="Y22" s="13">
        <v>3</v>
      </c>
      <c r="Z22" s="26">
        <v>2.6086956521739129E-2</v>
      </c>
      <c r="AA22" s="13">
        <v>1</v>
      </c>
      <c r="AB22" s="26">
        <v>8.6956521739130436E-3</v>
      </c>
      <c r="AC22" s="13"/>
      <c r="AD22" s="13">
        <v>116</v>
      </c>
      <c r="AE22" s="13">
        <v>113</v>
      </c>
      <c r="AF22" s="13">
        <v>1</v>
      </c>
      <c r="AG22" s="26">
        <v>8.8495575221238937E-3</v>
      </c>
      <c r="AH22" s="13">
        <v>3</v>
      </c>
      <c r="AI22" s="26">
        <v>2.6548672566371681E-2</v>
      </c>
      <c r="AJ22" s="13"/>
      <c r="AK22" s="13">
        <v>109</v>
      </c>
      <c r="AL22" s="13">
        <v>108</v>
      </c>
      <c r="AM22" s="13">
        <v>1</v>
      </c>
      <c r="AN22" s="26">
        <v>9.2592592592592587E-3</v>
      </c>
      <c r="AO22" s="13">
        <v>1</v>
      </c>
      <c r="AP22" s="26">
        <v>9.2592592592592587E-3</v>
      </c>
      <c r="AQ22" s="13"/>
      <c r="AR22" s="281">
        <v>100</v>
      </c>
      <c r="AS22" s="281">
        <v>99</v>
      </c>
      <c r="AT22" s="281"/>
      <c r="AU22" s="84">
        <f t="shared" si="0"/>
        <v>0</v>
      </c>
      <c r="AV22" s="281"/>
      <c r="AW22" s="84">
        <f t="shared" si="1"/>
        <v>0</v>
      </c>
      <c r="AX22" s="159" t="str">
        <f t="shared" si="2"/>
        <v>OK</v>
      </c>
      <c r="AY22" t="s">
        <v>8</v>
      </c>
      <c r="AZ22">
        <v>100</v>
      </c>
      <c r="BA22">
        <v>99</v>
      </c>
      <c r="BC22" s="222">
        <v>0</v>
      </c>
      <c r="BE22" s="222">
        <v>0</v>
      </c>
    </row>
    <row r="23" spans="1:57" x14ac:dyDescent="0.25">
      <c r="A23" s="16" t="s">
        <v>9</v>
      </c>
      <c r="B23" s="13">
        <v>31</v>
      </c>
      <c r="C23" s="13">
        <v>30</v>
      </c>
      <c r="D23" s="13">
        <v>1</v>
      </c>
      <c r="E23" s="26">
        <v>3.3333333333333333E-2</v>
      </c>
      <c r="F23" s="13">
        <v>2</v>
      </c>
      <c r="G23" s="26">
        <v>6.6666666666666666E-2</v>
      </c>
      <c r="H23" s="13"/>
      <c r="I23" s="13">
        <v>30</v>
      </c>
      <c r="J23" s="13">
        <v>27</v>
      </c>
      <c r="K23" s="13">
        <v>1</v>
      </c>
      <c r="L23" s="26">
        <v>3.7037037037037035E-2</v>
      </c>
      <c r="M23" s="13">
        <v>1</v>
      </c>
      <c r="N23" s="26">
        <v>3.7037037037037035E-2</v>
      </c>
      <c r="O23" s="13"/>
      <c r="P23" s="13">
        <v>30</v>
      </c>
      <c r="Q23" s="13">
        <v>28</v>
      </c>
      <c r="R23" s="13">
        <v>2</v>
      </c>
      <c r="S23" s="26">
        <v>7.1428571428571425E-2</v>
      </c>
      <c r="T23" s="13">
        <v>1</v>
      </c>
      <c r="U23" s="26">
        <v>3.5714285714285712E-2</v>
      </c>
      <c r="V23" s="13"/>
      <c r="W23" s="13">
        <v>29</v>
      </c>
      <c r="X23" s="13">
        <v>26</v>
      </c>
      <c r="Y23" s="13">
        <v>1</v>
      </c>
      <c r="Z23" s="26">
        <v>3.8461538461538464E-2</v>
      </c>
      <c r="AA23" s="13">
        <v>0</v>
      </c>
      <c r="AB23" s="26">
        <v>0</v>
      </c>
      <c r="AC23" s="13"/>
      <c r="AD23" s="13">
        <v>24</v>
      </c>
      <c r="AE23" s="13">
        <v>21</v>
      </c>
      <c r="AF23" s="13">
        <v>1</v>
      </c>
      <c r="AG23" s="26">
        <v>4.7619047619047616E-2</v>
      </c>
      <c r="AH23" s="13">
        <v>0</v>
      </c>
      <c r="AI23" s="26">
        <v>0</v>
      </c>
      <c r="AJ23" s="13"/>
      <c r="AK23" s="13">
        <v>25</v>
      </c>
      <c r="AL23" s="13">
        <v>21</v>
      </c>
      <c r="AM23" s="13">
        <v>2</v>
      </c>
      <c r="AN23" s="26">
        <v>9.5238095238095233E-2</v>
      </c>
      <c r="AO23" s="13"/>
      <c r="AP23" s="26">
        <v>0</v>
      </c>
      <c r="AQ23" s="13"/>
      <c r="AR23" s="281">
        <v>22</v>
      </c>
      <c r="AS23" s="281">
        <v>20</v>
      </c>
      <c r="AT23" s="281"/>
      <c r="AU23" s="84">
        <f t="shared" si="0"/>
        <v>0</v>
      </c>
      <c r="AV23" s="281"/>
      <c r="AW23" s="84">
        <f t="shared" si="1"/>
        <v>0</v>
      </c>
      <c r="AX23" s="159" t="str">
        <f t="shared" si="2"/>
        <v>OK</v>
      </c>
      <c r="AY23" t="s">
        <v>9</v>
      </c>
      <c r="AZ23">
        <v>22</v>
      </c>
      <c r="BA23">
        <v>20</v>
      </c>
      <c r="BC23" s="222">
        <v>0</v>
      </c>
      <c r="BE23" s="222">
        <v>0</v>
      </c>
    </row>
    <row r="24" spans="1:57" x14ac:dyDescent="0.25">
      <c r="A24" s="16" t="s">
        <v>23</v>
      </c>
      <c r="B24" s="13">
        <v>1258</v>
      </c>
      <c r="C24" s="13">
        <v>1186</v>
      </c>
      <c r="D24" s="13">
        <v>245</v>
      </c>
      <c r="E24" s="26">
        <v>0.20657672849915684</v>
      </c>
      <c r="F24" s="13">
        <v>27</v>
      </c>
      <c r="G24" s="26">
        <v>2.2765598650927487E-2</v>
      </c>
      <c r="H24" s="13"/>
      <c r="I24" s="13">
        <v>1237</v>
      </c>
      <c r="J24" s="13">
        <v>1167</v>
      </c>
      <c r="K24" s="13">
        <v>247</v>
      </c>
      <c r="L24" s="26">
        <v>0.21165381319622964</v>
      </c>
      <c r="M24" s="13">
        <v>31</v>
      </c>
      <c r="N24" s="26">
        <v>2.6563838903170524E-2</v>
      </c>
      <c r="O24" s="13"/>
      <c r="P24" s="13">
        <v>1240</v>
      </c>
      <c r="Q24" s="13">
        <v>1150</v>
      </c>
      <c r="R24" s="13">
        <v>194</v>
      </c>
      <c r="S24" s="26">
        <v>0.16869565217391305</v>
      </c>
      <c r="T24" s="13">
        <v>34</v>
      </c>
      <c r="U24" s="26">
        <v>2.9565217391304348E-2</v>
      </c>
      <c r="V24" s="13"/>
      <c r="W24" s="13">
        <v>1267</v>
      </c>
      <c r="X24" s="13">
        <v>1190</v>
      </c>
      <c r="Y24" s="13">
        <v>215</v>
      </c>
      <c r="Z24" s="26">
        <v>0.18067226890756302</v>
      </c>
      <c r="AA24" s="13">
        <v>25</v>
      </c>
      <c r="AB24" s="26">
        <v>2.100840336134454E-2</v>
      </c>
      <c r="AC24" s="13"/>
      <c r="AD24" s="13">
        <v>1277</v>
      </c>
      <c r="AE24" s="13">
        <v>1220</v>
      </c>
      <c r="AF24" s="13">
        <v>199</v>
      </c>
      <c r="AG24" s="26">
        <v>0.16311475409836065</v>
      </c>
      <c r="AH24" s="13">
        <v>29</v>
      </c>
      <c r="AI24" s="26">
        <v>2.3770491803278688E-2</v>
      </c>
      <c r="AJ24" s="13"/>
      <c r="AK24" s="13">
        <v>1292</v>
      </c>
      <c r="AL24" s="13">
        <v>1190</v>
      </c>
      <c r="AM24" s="13">
        <v>166</v>
      </c>
      <c r="AN24" s="26">
        <v>0.13949579831932774</v>
      </c>
      <c r="AO24" s="13">
        <v>29</v>
      </c>
      <c r="AP24" s="26">
        <v>2.4369747899159664E-2</v>
      </c>
      <c r="AQ24" s="13"/>
      <c r="AR24" s="281">
        <v>1263</v>
      </c>
      <c r="AS24" s="281">
        <v>1221</v>
      </c>
      <c r="AT24" s="281">
        <v>123</v>
      </c>
      <c r="AU24" s="84">
        <f t="shared" si="0"/>
        <v>0.10073710073710074</v>
      </c>
      <c r="AV24" s="281">
        <v>22</v>
      </c>
      <c r="AW24" s="84">
        <f t="shared" si="1"/>
        <v>1.8018018018018018E-2</v>
      </c>
      <c r="AX24" s="159" t="str">
        <f t="shared" si="2"/>
        <v>OK</v>
      </c>
      <c r="AY24" t="s">
        <v>23</v>
      </c>
      <c r="AZ24">
        <v>1263</v>
      </c>
      <c r="BA24">
        <v>1221</v>
      </c>
      <c r="BB24">
        <v>123</v>
      </c>
      <c r="BC24" s="222">
        <v>0.10073710073710074</v>
      </c>
      <c r="BD24">
        <v>22</v>
      </c>
      <c r="BE24" s="222">
        <v>1.8018018018018018E-2</v>
      </c>
    </row>
    <row r="25" spans="1:57" x14ac:dyDescent="0.25">
      <c r="A25" s="16" t="s">
        <v>24</v>
      </c>
      <c r="B25" s="13">
        <v>1</v>
      </c>
      <c r="C25" s="13">
        <v>1</v>
      </c>
      <c r="D25" s="13">
        <v>0</v>
      </c>
      <c r="E25" s="26">
        <v>0</v>
      </c>
      <c r="F25" s="13">
        <v>0</v>
      </c>
      <c r="G25" s="26">
        <v>0</v>
      </c>
      <c r="H25" s="13"/>
      <c r="I25" s="13">
        <v>1</v>
      </c>
      <c r="J25" s="13">
        <v>1</v>
      </c>
      <c r="K25" s="13">
        <v>0</v>
      </c>
      <c r="L25" s="26">
        <v>0</v>
      </c>
      <c r="M25" s="13">
        <v>0</v>
      </c>
      <c r="N25" s="26">
        <v>0</v>
      </c>
      <c r="O25" s="13"/>
      <c r="P25" s="13">
        <v>1</v>
      </c>
      <c r="Q25" s="13">
        <v>1</v>
      </c>
      <c r="R25" s="13">
        <v>0</v>
      </c>
      <c r="S25" s="26">
        <v>0</v>
      </c>
      <c r="T25" s="13">
        <v>0</v>
      </c>
      <c r="U25" s="26">
        <v>0</v>
      </c>
      <c r="V25" s="13"/>
      <c r="W25" s="13">
        <v>1</v>
      </c>
      <c r="X25" s="13">
        <v>1</v>
      </c>
      <c r="Y25" s="13">
        <v>0</v>
      </c>
      <c r="Z25" s="26">
        <v>0</v>
      </c>
      <c r="AA25" s="13">
        <v>0</v>
      </c>
      <c r="AB25" s="26">
        <v>0</v>
      </c>
      <c r="AC25" s="13"/>
      <c r="AD25" s="13">
        <v>1</v>
      </c>
      <c r="AE25" s="13">
        <v>1</v>
      </c>
      <c r="AF25" s="13">
        <v>0</v>
      </c>
      <c r="AG25" s="26">
        <v>0</v>
      </c>
      <c r="AH25" s="13">
        <v>0</v>
      </c>
      <c r="AI25" s="26">
        <v>0</v>
      </c>
      <c r="AJ25" s="13"/>
      <c r="AK25" s="13">
        <v>1</v>
      </c>
      <c r="AL25" s="13">
        <v>1</v>
      </c>
      <c r="AM25" s="13"/>
      <c r="AN25" s="26">
        <v>0</v>
      </c>
      <c r="AO25" s="13"/>
      <c r="AP25" s="26">
        <v>0</v>
      </c>
      <c r="AQ25" s="13"/>
      <c r="AR25" s="281">
        <v>1</v>
      </c>
      <c r="AS25" s="281">
        <v>1</v>
      </c>
      <c r="AT25" s="281"/>
      <c r="AU25" s="84">
        <f t="shared" si="0"/>
        <v>0</v>
      </c>
      <c r="AV25" s="281"/>
      <c r="AW25" s="84">
        <f t="shared" si="1"/>
        <v>0</v>
      </c>
      <c r="AX25" s="159" t="str">
        <f t="shared" si="2"/>
        <v>OK</v>
      </c>
      <c r="AY25" t="s">
        <v>24</v>
      </c>
      <c r="AZ25">
        <v>1</v>
      </c>
      <c r="BA25">
        <v>1</v>
      </c>
      <c r="BC25" s="222">
        <v>0</v>
      </c>
      <c r="BE25" s="222">
        <v>0</v>
      </c>
    </row>
    <row r="26" spans="1:57" x14ac:dyDescent="0.25">
      <c r="A26" s="16" t="s">
        <v>33</v>
      </c>
      <c r="B26" s="13">
        <v>4</v>
      </c>
      <c r="C26" s="13">
        <v>4</v>
      </c>
      <c r="D26" s="13">
        <v>0</v>
      </c>
      <c r="E26" s="26">
        <v>0</v>
      </c>
      <c r="F26" s="13">
        <v>1</v>
      </c>
      <c r="G26" s="26">
        <v>0.25</v>
      </c>
      <c r="H26" s="13"/>
      <c r="I26" s="13">
        <v>4</v>
      </c>
      <c r="J26" s="13">
        <v>4</v>
      </c>
      <c r="K26" s="13">
        <v>0</v>
      </c>
      <c r="L26" s="26">
        <v>0</v>
      </c>
      <c r="M26" s="13">
        <v>1</v>
      </c>
      <c r="N26" s="26">
        <v>0.25</v>
      </c>
      <c r="O26" s="13"/>
      <c r="P26" s="13">
        <v>3</v>
      </c>
      <c r="Q26" s="13">
        <v>3</v>
      </c>
      <c r="R26" s="13">
        <v>0</v>
      </c>
      <c r="S26" s="26">
        <v>0</v>
      </c>
      <c r="T26" s="13">
        <v>1</v>
      </c>
      <c r="U26" s="26">
        <v>0.33333333333333331</v>
      </c>
      <c r="V26" s="13"/>
      <c r="W26" s="13">
        <v>3</v>
      </c>
      <c r="X26" s="13">
        <v>3</v>
      </c>
      <c r="Y26" s="13">
        <v>0</v>
      </c>
      <c r="Z26" s="26">
        <v>0</v>
      </c>
      <c r="AA26" s="13">
        <v>0</v>
      </c>
      <c r="AB26" s="26">
        <v>0</v>
      </c>
      <c r="AC26" s="13"/>
      <c r="AD26" s="13">
        <v>2</v>
      </c>
      <c r="AE26" s="13">
        <v>2</v>
      </c>
      <c r="AF26" s="13">
        <v>1</v>
      </c>
      <c r="AG26" s="26">
        <v>0.5</v>
      </c>
      <c r="AH26" s="13">
        <v>0</v>
      </c>
      <c r="AI26" s="26">
        <v>0</v>
      </c>
      <c r="AJ26" s="13"/>
      <c r="AK26" s="13">
        <v>2</v>
      </c>
      <c r="AL26" s="13">
        <v>2</v>
      </c>
      <c r="AM26" s="13"/>
      <c r="AN26" s="26">
        <v>0</v>
      </c>
      <c r="AO26" s="13"/>
      <c r="AP26" s="26">
        <v>0</v>
      </c>
      <c r="AQ26" s="13"/>
      <c r="AR26" s="281">
        <v>3</v>
      </c>
      <c r="AS26" s="281">
        <v>3</v>
      </c>
      <c r="AT26" s="281"/>
      <c r="AU26" s="84">
        <f t="shared" si="0"/>
        <v>0</v>
      </c>
      <c r="AV26" s="281"/>
      <c r="AW26" s="84">
        <f t="shared" si="1"/>
        <v>0</v>
      </c>
      <c r="AX26" s="159" t="str">
        <f t="shared" si="2"/>
        <v>OK</v>
      </c>
      <c r="AY26" t="s">
        <v>33</v>
      </c>
      <c r="AZ26">
        <v>3</v>
      </c>
      <c r="BA26">
        <v>3</v>
      </c>
      <c r="BC26" s="222">
        <v>0</v>
      </c>
      <c r="BE26" s="222">
        <v>0</v>
      </c>
    </row>
    <row r="27" spans="1:57" x14ac:dyDescent="0.25">
      <c r="A27" s="16" t="s">
        <v>10</v>
      </c>
      <c r="B27" s="13">
        <v>45</v>
      </c>
      <c r="C27" s="13">
        <v>43</v>
      </c>
      <c r="D27" s="13">
        <v>5</v>
      </c>
      <c r="E27" s="26">
        <v>0.11627906976744186</v>
      </c>
      <c r="F27" s="13">
        <v>4</v>
      </c>
      <c r="G27" s="26">
        <v>9.3023255813953487E-2</v>
      </c>
      <c r="H27" s="13"/>
      <c r="I27" s="13">
        <v>44</v>
      </c>
      <c r="J27" s="13">
        <v>41</v>
      </c>
      <c r="K27" s="13">
        <v>4</v>
      </c>
      <c r="L27" s="26">
        <v>9.7560975609756101E-2</v>
      </c>
      <c r="M27" s="13">
        <v>1</v>
      </c>
      <c r="N27" s="26">
        <v>2.4390243902439025E-2</v>
      </c>
      <c r="O27" s="13"/>
      <c r="P27" s="13">
        <v>40</v>
      </c>
      <c r="Q27" s="13">
        <v>39</v>
      </c>
      <c r="R27" s="13">
        <v>2</v>
      </c>
      <c r="S27" s="26">
        <v>5.128205128205128E-2</v>
      </c>
      <c r="T27" s="13">
        <v>0</v>
      </c>
      <c r="U27" s="26">
        <v>0</v>
      </c>
      <c r="V27" s="13"/>
      <c r="W27" s="13">
        <v>30</v>
      </c>
      <c r="X27" s="13">
        <v>29</v>
      </c>
      <c r="Y27" s="13">
        <v>1</v>
      </c>
      <c r="Z27" s="26">
        <v>3.4482758620689655E-2</v>
      </c>
      <c r="AA27" s="13">
        <v>1</v>
      </c>
      <c r="AB27" s="26">
        <v>3.4482758620689655E-2</v>
      </c>
      <c r="AC27" s="13"/>
      <c r="AD27" s="13">
        <v>33</v>
      </c>
      <c r="AE27" s="13">
        <v>29</v>
      </c>
      <c r="AF27" s="13">
        <v>0</v>
      </c>
      <c r="AG27" s="26">
        <v>0</v>
      </c>
      <c r="AH27" s="13">
        <v>2</v>
      </c>
      <c r="AI27" s="26">
        <v>6.8965517241379309E-2</v>
      </c>
      <c r="AJ27" s="13"/>
      <c r="AK27" s="13">
        <v>31</v>
      </c>
      <c r="AL27" s="13">
        <v>28</v>
      </c>
      <c r="AM27" s="13"/>
      <c r="AN27" s="26">
        <v>0</v>
      </c>
      <c r="AO27" s="13">
        <v>2</v>
      </c>
      <c r="AP27" s="26">
        <v>7.1428571428571425E-2</v>
      </c>
      <c r="AQ27" s="13"/>
      <c r="AR27" s="281">
        <v>34</v>
      </c>
      <c r="AS27" s="281">
        <v>32</v>
      </c>
      <c r="AT27" s="281"/>
      <c r="AU27" s="84">
        <f t="shared" si="0"/>
        <v>0</v>
      </c>
      <c r="AV27" s="281">
        <v>2</v>
      </c>
      <c r="AW27" s="84">
        <f t="shared" si="1"/>
        <v>6.25E-2</v>
      </c>
      <c r="AX27" s="159" t="str">
        <f t="shared" si="2"/>
        <v>OK</v>
      </c>
      <c r="AY27" t="s">
        <v>10</v>
      </c>
      <c r="AZ27">
        <v>34</v>
      </c>
      <c r="BA27">
        <v>32</v>
      </c>
      <c r="BC27" s="222">
        <v>0</v>
      </c>
      <c r="BD27">
        <v>2</v>
      </c>
      <c r="BE27" s="222">
        <v>6.25E-2</v>
      </c>
    </row>
    <row r="28" spans="1:57" x14ac:dyDescent="0.25">
      <c r="A28" s="16" t="s">
        <v>358</v>
      </c>
      <c r="B28" s="13">
        <v>256</v>
      </c>
      <c r="C28" s="13">
        <v>240</v>
      </c>
      <c r="D28" s="13">
        <v>24</v>
      </c>
      <c r="E28" s="26">
        <v>0.1</v>
      </c>
      <c r="F28" s="13">
        <v>1</v>
      </c>
      <c r="G28" s="26">
        <v>4.1666666666666666E-3</v>
      </c>
      <c r="H28" s="13"/>
      <c r="I28" s="13">
        <v>277</v>
      </c>
      <c r="J28" s="13">
        <v>258</v>
      </c>
      <c r="K28" s="13">
        <v>18</v>
      </c>
      <c r="L28" s="26">
        <v>6.9767441860465115E-2</v>
      </c>
      <c r="M28" s="13">
        <v>6</v>
      </c>
      <c r="N28" s="26">
        <v>2.3255813953488372E-2</v>
      </c>
      <c r="O28" s="13"/>
      <c r="P28" s="13">
        <v>314</v>
      </c>
      <c r="Q28" s="13">
        <v>292</v>
      </c>
      <c r="R28" s="13">
        <v>21</v>
      </c>
      <c r="S28" s="26">
        <v>7.1917808219178078E-2</v>
      </c>
      <c r="T28" s="13">
        <v>7</v>
      </c>
      <c r="U28" s="26">
        <v>2.3972602739726026E-2</v>
      </c>
      <c r="V28" s="13"/>
      <c r="W28" s="13">
        <v>312</v>
      </c>
      <c r="X28" s="13">
        <v>282</v>
      </c>
      <c r="Y28" s="13">
        <v>14</v>
      </c>
      <c r="Z28" s="26">
        <v>4.9645390070921988E-2</v>
      </c>
      <c r="AA28" s="13">
        <v>3</v>
      </c>
      <c r="AB28" s="26">
        <v>1.0638297872340425E-2</v>
      </c>
      <c r="AC28" s="13"/>
      <c r="AD28" s="13">
        <v>305</v>
      </c>
      <c r="AE28" s="13">
        <v>283</v>
      </c>
      <c r="AF28" s="13">
        <v>14</v>
      </c>
      <c r="AG28" s="26">
        <v>4.9469964664310952E-2</v>
      </c>
      <c r="AH28" s="13">
        <v>4</v>
      </c>
      <c r="AI28" s="26">
        <v>1.4134275618374558E-2</v>
      </c>
      <c r="AJ28" s="13"/>
      <c r="AK28" s="13">
        <v>338</v>
      </c>
      <c r="AL28" s="13">
        <v>314</v>
      </c>
      <c r="AM28" s="13">
        <v>11</v>
      </c>
      <c r="AN28" s="26">
        <v>3.5031847133757961E-2</v>
      </c>
      <c r="AO28" s="13">
        <v>10</v>
      </c>
      <c r="AP28" s="26">
        <v>3.1847133757961783E-2</v>
      </c>
      <c r="AQ28" s="13"/>
      <c r="AR28" s="281">
        <v>326</v>
      </c>
      <c r="AS28" s="281">
        <v>309</v>
      </c>
      <c r="AT28" s="281">
        <v>19</v>
      </c>
      <c r="AU28" s="84">
        <f t="shared" si="0"/>
        <v>6.1488673139158574E-2</v>
      </c>
      <c r="AV28" s="281">
        <v>4</v>
      </c>
      <c r="AW28" s="84">
        <f t="shared" si="1"/>
        <v>1.2944983818770227E-2</v>
      </c>
      <c r="AX28" s="159" t="str">
        <f t="shared" si="2"/>
        <v>OK</v>
      </c>
      <c r="AY28" t="s">
        <v>358</v>
      </c>
      <c r="AZ28">
        <v>326</v>
      </c>
      <c r="BA28">
        <v>309</v>
      </c>
      <c r="BB28">
        <v>19</v>
      </c>
      <c r="BC28" s="222">
        <v>6.1488673139158574E-2</v>
      </c>
      <c r="BD28">
        <v>4</v>
      </c>
      <c r="BE28" s="222">
        <v>1.2944983818770227E-2</v>
      </c>
    </row>
    <row r="29" spans="1:57" x14ac:dyDescent="0.25">
      <c r="A29" s="16" t="s">
        <v>190</v>
      </c>
      <c r="B29" s="13">
        <v>51</v>
      </c>
      <c r="C29" s="13">
        <v>45</v>
      </c>
      <c r="D29" s="13">
        <v>1</v>
      </c>
      <c r="E29" s="26">
        <v>2.2222222222222223E-2</v>
      </c>
      <c r="F29" s="13">
        <v>1</v>
      </c>
      <c r="G29" s="26">
        <v>2.2222222222222223E-2</v>
      </c>
      <c r="H29" s="13"/>
      <c r="I29" s="13">
        <v>56</v>
      </c>
      <c r="J29" s="13">
        <v>49</v>
      </c>
      <c r="K29" s="13">
        <v>1</v>
      </c>
      <c r="L29" s="26">
        <v>2.0408163265306121E-2</v>
      </c>
      <c r="M29" s="13">
        <v>0</v>
      </c>
      <c r="N29" s="26">
        <v>0</v>
      </c>
      <c r="O29" s="13"/>
      <c r="P29" s="13">
        <v>55</v>
      </c>
      <c r="Q29" s="13">
        <v>51</v>
      </c>
      <c r="R29" s="13">
        <v>3</v>
      </c>
      <c r="S29" s="26">
        <v>5.8823529411764705E-2</v>
      </c>
      <c r="T29" s="13">
        <v>1</v>
      </c>
      <c r="U29" s="26">
        <v>1.9607843137254902E-2</v>
      </c>
      <c r="V29" s="13"/>
      <c r="W29" s="13">
        <v>55</v>
      </c>
      <c r="X29" s="13">
        <v>53</v>
      </c>
      <c r="Y29" s="13">
        <v>3</v>
      </c>
      <c r="Z29" s="26">
        <v>5.6603773584905662E-2</v>
      </c>
      <c r="AA29" s="13">
        <v>2</v>
      </c>
      <c r="AB29" s="26">
        <v>3.7735849056603772E-2</v>
      </c>
      <c r="AC29" s="13"/>
      <c r="AD29" s="13">
        <v>53</v>
      </c>
      <c r="AE29" s="13">
        <v>49</v>
      </c>
      <c r="AF29" s="13">
        <v>5</v>
      </c>
      <c r="AG29" s="26">
        <v>0.10204081632653061</v>
      </c>
      <c r="AH29" s="13">
        <v>0</v>
      </c>
      <c r="AI29" s="26">
        <v>0</v>
      </c>
      <c r="AJ29" s="13"/>
      <c r="AK29" s="13">
        <v>60</v>
      </c>
      <c r="AL29" s="13">
        <v>54</v>
      </c>
      <c r="AM29" s="13">
        <v>2</v>
      </c>
      <c r="AN29" s="26">
        <v>3.7037037037037035E-2</v>
      </c>
      <c r="AO29" s="13">
        <v>1</v>
      </c>
      <c r="AP29" s="26">
        <v>1.8518518518518517E-2</v>
      </c>
      <c r="AQ29" s="13"/>
      <c r="AR29" s="281">
        <v>64</v>
      </c>
      <c r="AS29" s="281">
        <v>61</v>
      </c>
      <c r="AT29" s="281">
        <v>1</v>
      </c>
      <c r="AU29" s="84">
        <f t="shared" si="0"/>
        <v>1.6393442622950821E-2</v>
      </c>
      <c r="AV29" s="281">
        <v>2</v>
      </c>
      <c r="AW29" s="84">
        <f t="shared" si="1"/>
        <v>3.2786885245901641E-2</v>
      </c>
      <c r="AX29" s="159" t="str">
        <f t="shared" si="2"/>
        <v>OK</v>
      </c>
      <c r="AY29" t="s">
        <v>190</v>
      </c>
      <c r="AZ29">
        <v>64</v>
      </c>
      <c r="BA29">
        <v>61</v>
      </c>
      <c r="BB29">
        <v>1</v>
      </c>
      <c r="BC29" s="222">
        <v>1.6393442622950821E-2</v>
      </c>
      <c r="BD29">
        <v>2</v>
      </c>
      <c r="BE29" s="222">
        <v>3.2786885245901641E-2</v>
      </c>
    </row>
    <row r="30" spans="1:57" x14ac:dyDescent="0.25">
      <c r="A30" s="16" t="s">
        <v>11</v>
      </c>
      <c r="B30" s="13">
        <v>115</v>
      </c>
      <c r="C30" s="13">
        <v>110</v>
      </c>
      <c r="D30" s="13">
        <v>15</v>
      </c>
      <c r="E30" s="26">
        <v>0.13636363636363635</v>
      </c>
      <c r="F30" s="13">
        <v>3</v>
      </c>
      <c r="G30" s="26">
        <v>2.7272727272727271E-2</v>
      </c>
      <c r="H30" s="13"/>
      <c r="I30" s="13">
        <v>122</v>
      </c>
      <c r="J30" s="13">
        <v>110</v>
      </c>
      <c r="K30" s="13">
        <v>17</v>
      </c>
      <c r="L30" s="26">
        <v>0.15454545454545454</v>
      </c>
      <c r="M30" s="13">
        <v>5</v>
      </c>
      <c r="N30" s="26">
        <v>4.5454545454545456E-2</v>
      </c>
      <c r="O30" s="13"/>
      <c r="P30" s="13">
        <v>118</v>
      </c>
      <c r="Q30" s="13">
        <v>114</v>
      </c>
      <c r="R30" s="13">
        <v>15</v>
      </c>
      <c r="S30" s="26">
        <v>0.13157894736842105</v>
      </c>
      <c r="T30" s="13">
        <v>5</v>
      </c>
      <c r="U30" s="26">
        <v>4.3859649122807015E-2</v>
      </c>
      <c r="V30" s="13"/>
      <c r="W30" s="13">
        <v>123</v>
      </c>
      <c r="X30" s="13">
        <v>117</v>
      </c>
      <c r="Y30" s="13">
        <v>2</v>
      </c>
      <c r="Z30" s="26">
        <v>1.7094017094017096E-2</v>
      </c>
      <c r="AA30" s="13">
        <v>3</v>
      </c>
      <c r="AB30" s="26">
        <v>2.564102564102564E-2</v>
      </c>
      <c r="AC30" s="13"/>
      <c r="AD30" s="13">
        <v>120</v>
      </c>
      <c r="AE30" s="13">
        <v>114</v>
      </c>
      <c r="AF30" s="13">
        <v>5</v>
      </c>
      <c r="AG30" s="26">
        <v>4.3859649122807015E-2</v>
      </c>
      <c r="AH30" s="13">
        <v>1</v>
      </c>
      <c r="AI30" s="26">
        <v>8.771929824561403E-3</v>
      </c>
      <c r="AJ30" s="13"/>
      <c r="AK30" s="13">
        <v>121</v>
      </c>
      <c r="AL30" s="13">
        <v>118</v>
      </c>
      <c r="AM30" s="13">
        <v>3</v>
      </c>
      <c r="AN30" s="26">
        <v>2.5423728813559324E-2</v>
      </c>
      <c r="AO30" s="13">
        <v>3</v>
      </c>
      <c r="AP30" s="26">
        <v>2.5423728813559324E-2</v>
      </c>
      <c r="AQ30" s="13"/>
      <c r="AR30" s="281">
        <v>116</v>
      </c>
      <c r="AS30" s="281">
        <v>113</v>
      </c>
      <c r="AT30" s="281"/>
      <c r="AU30" s="84">
        <f t="shared" si="0"/>
        <v>0</v>
      </c>
      <c r="AV30" s="281">
        <v>1</v>
      </c>
      <c r="AW30" s="84">
        <f t="shared" si="1"/>
        <v>8.8495575221238937E-3</v>
      </c>
      <c r="AX30" s="159" t="str">
        <f t="shared" si="2"/>
        <v>OK</v>
      </c>
      <c r="AY30" t="s">
        <v>11</v>
      </c>
      <c r="AZ30">
        <v>116</v>
      </c>
      <c r="BA30">
        <v>113</v>
      </c>
      <c r="BC30" s="222">
        <v>0</v>
      </c>
      <c r="BD30">
        <v>1</v>
      </c>
      <c r="BE30" s="222">
        <v>8.8495575221238937E-3</v>
      </c>
    </row>
    <row r="31" spans="1:57" x14ac:dyDescent="0.25">
      <c r="A31" s="16" t="s">
        <v>12</v>
      </c>
      <c r="B31" s="13">
        <v>78</v>
      </c>
      <c r="C31" s="13">
        <v>77</v>
      </c>
      <c r="D31" s="13">
        <v>7</v>
      </c>
      <c r="E31" s="26">
        <v>9.0909090909090912E-2</v>
      </c>
      <c r="F31" s="13">
        <v>5</v>
      </c>
      <c r="G31" s="26">
        <v>6.4935064935064929E-2</v>
      </c>
      <c r="H31" s="13"/>
      <c r="I31" s="13">
        <v>76</v>
      </c>
      <c r="J31" s="13">
        <v>71</v>
      </c>
      <c r="K31" s="13">
        <v>2</v>
      </c>
      <c r="L31" s="26">
        <v>2.8169014084507043E-2</v>
      </c>
      <c r="M31" s="13">
        <v>3</v>
      </c>
      <c r="N31" s="26">
        <v>4.2253521126760563E-2</v>
      </c>
      <c r="O31" s="13"/>
      <c r="P31" s="13">
        <v>68</v>
      </c>
      <c r="Q31" s="13">
        <v>65</v>
      </c>
      <c r="R31" s="13">
        <v>4</v>
      </c>
      <c r="S31" s="26">
        <v>6.1538461538461542E-2</v>
      </c>
      <c r="T31" s="13">
        <v>5</v>
      </c>
      <c r="U31" s="26">
        <v>7.6923076923076927E-2</v>
      </c>
      <c r="V31" s="13"/>
      <c r="W31" s="13">
        <v>79</v>
      </c>
      <c r="X31" s="13">
        <v>77</v>
      </c>
      <c r="Y31" s="13">
        <v>2</v>
      </c>
      <c r="Z31" s="26">
        <v>2.5974025974025976E-2</v>
      </c>
      <c r="AA31" s="13">
        <v>7</v>
      </c>
      <c r="AB31" s="26">
        <v>9.0909090909090912E-2</v>
      </c>
      <c r="AC31" s="13"/>
      <c r="AD31" s="13">
        <v>83</v>
      </c>
      <c r="AE31" s="13">
        <v>79</v>
      </c>
      <c r="AF31" s="13">
        <v>3</v>
      </c>
      <c r="AG31" s="26">
        <v>3.7974683544303799E-2</v>
      </c>
      <c r="AH31" s="13">
        <v>1</v>
      </c>
      <c r="AI31" s="26">
        <v>1.2658227848101266E-2</v>
      </c>
      <c r="AJ31" s="13"/>
      <c r="AK31" s="13">
        <v>87</v>
      </c>
      <c r="AL31" s="13">
        <v>83</v>
      </c>
      <c r="AM31" s="13">
        <v>3</v>
      </c>
      <c r="AN31" s="26">
        <v>3.614457831325301E-2</v>
      </c>
      <c r="AO31" s="13">
        <v>3</v>
      </c>
      <c r="AP31" s="26">
        <v>3.614457831325301E-2</v>
      </c>
      <c r="AQ31" s="13"/>
      <c r="AR31" s="281">
        <v>83</v>
      </c>
      <c r="AS31" s="281">
        <v>81</v>
      </c>
      <c r="AT31" s="281">
        <v>1</v>
      </c>
      <c r="AU31" s="84">
        <f t="shared" si="0"/>
        <v>1.2345679012345678E-2</v>
      </c>
      <c r="AV31" s="281">
        <v>6</v>
      </c>
      <c r="AW31" s="84">
        <f t="shared" si="1"/>
        <v>7.407407407407407E-2</v>
      </c>
      <c r="AX31" s="159" t="str">
        <f t="shared" si="2"/>
        <v>OK</v>
      </c>
      <c r="AY31" t="s">
        <v>12</v>
      </c>
      <c r="AZ31">
        <v>83</v>
      </c>
      <c r="BA31">
        <v>81</v>
      </c>
      <c r="BB31">
        <v>1</v>
      </c>
      <c r="BC31" s="222">
        <v>1.2345679012345678E-2</v>
      </c>
      <c r="BD31">
        <v>6</v>
      </c>
      <c r="BE31" s="222">
        <v>7.407407407407407E-2</v>
      </c>
    </row>
    <row r="32" spans="1:57" x14ac:dyDescent="0.25">
      <c r="A32" s="16" t="s">
        <v>13</v>
      </c>
      <c r="B32" s="13">
        <v>48</v>
      </c>
      <c r="C32" s="13">
        <v>46</v>
      </c>
      <c r="D32" s="13">
        <v>2</v>
      </c>
      <c r="E32" s="26">
        <v>4.3478260869565216E-2</v>
      </c>
      <c r="F32" s="13">
        <v>1</v>
      </c>
      <c r="G32" s="26">
        <v>2.1739130434782608E-2</v>
      </c>
      <c r="H32" s="13"/>
      <c r="I32" s="13">
        <v>46</v>
      </c>
      <c r="J32" s="13">
        <v>39</v>
      </c>
      <c r="K32" s="13">
        <v>2</v>
      </c>
      <c r="L32" s="26">
        <v>5.128205128205128E-2</v>
      </c>
      <c r="M32" s="13">
        <v>1</v>
      </c>
      <c r="N32" s="26">
        <v>2.564102564102564E-2</v>
      </c>
      <c r="O32" s="13"/>
      <c r="P32" s="13">
        <v>54</v>
      </c>
      <c r="Q32" s="13">
        <v>51</v>
      </c>
      <c r="R32" s="13">
        <v>2</v>
      </c>
      <c r="S32" s="26">
        <v>3.9215686274509803E-2</v>
      </c>
      <c r="T32" s="13">
        <v>2</v>
      </c>
      <c r="U32" s="26">
        <v>3.9215686274509803E-2</v>
      </c>
      <c r="V32" s="13"/>
      <c r="W32" s="13">
        <v>56</v>
      </c>
      <c r="X32" s="13">
        <v>50</v>
      </c>
      <c r="Y32" s="13">
        <v>5</v>
      </c>
      <c r="Z32" s="26">
        <v>0.1</v>
      </c>
      <c r="AA32" s="13">
        <v>3</v>
      </c>
      <c r="AB32" s="26">
        <v>0.06</v>
      </c>
      <c r="AC32" s="13"/>
      <c r="AD32" s="13">
        <v>54</v>
      </c>
      <c r="AE32" s="13">
        <v>52</v>
      </c>
      <c r="AF32" s="13">
        <v>0</v>
      </c>
      <c r="AG32" s="26">
        <v>0</v>
      </c>
      <c r="AH32" s="13">
        <v>0</v>
      </c>
      <c r="AI32" s="26">
        <v>0</v>
      </c>
      <c r="AJ32" s="13"/>
      <c r="AK32" s="13">
        <v>52</v>
      </c>
      <c r="AL32" s="13">
        <v>50</v>
      </c>
      <c r="AM32" s="13"/>
      <c r="AN32" s="26">
        <v>0</v>
      </c>
      <c r="AO32" s="13"/>
      <c r="AP32" s="26">
        <v>0</v>
      </c>
      <c r="AQ32" s="13"/>
      <c r="AR32" s="281">
        <v>49</v>
      </c>
      <c r="AS32" s="281">
        <v>49</v>
      </c>
      <c r="AT32" s="281">
        <v>1</v>
      </c>
      <c r="AU32" s="84">
        <f t="shared" si="0"/>
        <v>2.0408163265306121E-2</v>
      </c>
      <c r="AV32" s="281">
        <v>1</v>
      </c>
      <c r="AW32" s="84">
        <f t="shared" si="1"/>
        <v>2.0408163265306121E-2</v>
      </c>
      <c r="AX32" s="159" t="str">
        <f t="shared" si="2"/>
        <v>OK</v>
      </c>
      <c r="AY32" t="s">
        <v>13</v>
      </c>
      <c r="AZ32">
        <v>49</v>
      </c>
      <c r="BA32">
        <v>49</v>
      </c>
      <c r="BB32">
        <v>1</v>
      </c>
      <c r="BC32" s="222">
        <v>2.0408163265306121E-2</v>
      </c>
      <c r="BD32">
        <v>1</v>
      </c>
      <c r="BE32" s="222">
        <v>2.0408163265306121E-2</v>
      </c>
    </row>
    <row r="33" spans="1:57" x14ac:dyDescent="0.25">
      <c r="A33" s="16" t="s">
        <v>14</v>
      </c>
      <c r="B33" s="13">
        <v>22</v>
      </c>
      <c r="C33" s="13">
        <v>18</v>
      </c>
      <c r="D33" s="13">
        <v>0</v>
      </c>
      <c r="E33" s="26">
        <v>0</v>
      </c>
      <c r="F33" s="13">
        <v>1</v>
      </c>
      <c r="G33" s="26">
        <v>5.5555555555555552E-2</v>
      </c>
      <c r="H33" s="13"/>
      <c r="I33" s="13">
        <v>22</v>
      </c>
      <c r="J33" s="13">
        <v>17</v>
      </c>
      <c r="K33" s="13">
        <v>0</v>
      </c>
      <c r="L33" s="26">
        <v>0</v>
      </c>
      <c r="M33" s="13">
        <v>0</v>
      </c>
      <c r="N33" s="26">
        <v>0</v>
      </c>
      <c r="O33" s="13"/>
      <c r="P33" s="13">
        <v>20</v>
      </c>
      <c r="Q33" s="13">
        <v>19</v>
      </c>
      <c r="R33" s="13">
        <v>0</v>
      </c>
      <c r="S33" s="26">
        <v>0</v>
      </c>
      <c r="T33" s="13">
        <v>0</v>
      </c>
      <c r="U33" s="26">
        <v>0</v>
      </c>
      <c r="V33" s="13"/>
      <c r="W33" s="13">
        <v>18</v>
      </c>
      <c r="X33" s="13">
        <v>17</v>
      </c>
      <c r="Y33" s="13">
        <v>0</v>
      </c>
      <c r="Z33" s="26">
        <v>0</v>
      </c>
      <c r="AA33" s="13">
        <v>0</v>
      </c>
      <c r="AB33" s="26">
        <v>0</v>
      </c>
      <c r="AC33" s="13"/>
      <c r="AD33" s="13">
        <v>21</v>
      </c>
      <c r="AE33" s="13">
        <v>20</v>
      </c>
      <c r="AF33" s="13">
        <v>0</v>
      </c>
      <c r="AG33" s="26">
        <v>0</v>
      </c>
      <c r="AH33" s="13">
        <v>0</v>
      </c>
      <c r="AI33" s="26">
        <v>0</v>
      </c>
      <c r="AJ33" s="13"/>
      <c r="AK33" s="13">
        <v>24</v>
      </c>
      <c r="AL33" s="13">
        <v>23</v>
      </c>
      <c r="AM33" s="13"/>
      <c r="AN33" s="26">
        <v>0</v>
      </c>
      <c r="AO33" s="13"/>
      <c r="AP33" s="26">
        <v>0</v>
      </c>
      <c r="AQ33" s="13"/>
      <c r="AR33" s="281">
        <v>27</v>
      </c>
      <c r="AS33" s="281">
        <v>25</v>
      </c>
      <c r="AT33" s="281"/>
      <c r="AU33" s="84">
        <f t="shared" si="0"/>
        <v>0</v>
      </c>
      <c r="AV33" s="281"/>
      <c r="AW33" s="84">
        <f t="shared" si="1"/>
        <v>0</v>
      </c>
      <c r="AX33" s="159" t="str">
        <f t="shared" si="2"/>
        <v>OK</v>
      </c>
      <c r="AY33" t="s">
        <v>14</v>
      </c>
      <c r="AZ33">
        <v>27</v>
      </c>
      <c r="BA33">
        <v>25</v>
      </c>
      <c r="BC33" s="222">
        <v>0</v>
      </c>
      <c r="BE33" s="222">
        <v>0</v>
      </c>
    </row>
    <row r="34" spans="1:57" x14ac:dyDescent="0.25">
      <c r="A34" s="16" t="s">
        <v>15</v>
      </c>
      <c r="B34" s="13">
        <v>66</v>
      </c>
      <c r="C34" s="13">
        <v>64</v>
      </c>
      <c r="D34" s="13">
        <v>4</v>
      </c>
      <c r="E34" s="26">
        <v>6.25E-2</v>
      </c>
      <c r="F34" s="13">
        <v>0</v>
      </c>
      <c r="G34" s="26">
        <v>0</v>
      </c>
      <c r="H34" s="13"/>
      <c r="I34" s="13">
        <v>69</v>
      </c>
      <c r="J34" s="13">
        <v>64</v>
      </c>
      <c r="K34" s="13">
        <v>4</v>
      </c>
      <c r="L34" s="26">
        <v>6.25E-2</v>
      </c>
      <c r="M34" s="13">
        <v>0</v>
      </c>
      <c r="N34" s="26">
        <v>0</v>
      </c>
      <c r="O34" s="13"/>
      <c r="P34" s="13">
        <v>73</v>
      </c>
      <c r="Q34" s="13">
        <v>70</v>
      </c>
      <c r="R34" s="13">
        <v>1</v>
      </c>
      <c r="S34" s="26">
        <v>1.4285714285714285E-2</v>
      </c>
      <c r="T34" s="13">
        <v>2</v>
      </c>
      <c r="U34" s="26">
        <v>2.8571428571428571E-2</v>
      </c>
      <c r="V34" s="13"/>
      <c r="W34" s="13">
        <v>75</v>
      </c>
      <c r="X34" s="13">
        <v>71</v>
      </c>
      <c r="Y34" s="13">
        <v>5</v>
      </c>
      <c r="Z34" s="26">
        <v>7.0422535211267609E-2</v>
      </c>
      <c r="AA34" s="13">
        <v>2</v>
      </c>
      <c r="AB34" s="26">
        <v>2.8169014084507043E-2</v>
      </c>
      <c r="AC34" s="13"/>
      <c r="AD34" s="13">
        <v>74</v>
      </c>
      <c r="AE34" s="13">
        <v>70</v>
      </c>
      <c r="AF34" s="13">
        <v>3</v>
      </c>
      <c r="AG34" s="26">
        <v>4.2857142857142858E-2</v>
      </c>
      <c r="AH34" s="13">
        <v>2</v>
      </c>
      <c r="AI34" s="26">
        <v>2.8571428571428571E-2</v>
      </c>
      <c r="AJ34" s="13"/>
      <c r="AK34" s="13">
        <v>76</v>
      </c>
      <c r="AL34" s="13">
        <v>74</v>
      </c>
      <c r="AM34" s="13">
        <v>3</v>
      </c>
      <c r="AN34" s="26">
        <v>4.0540540540540543E-2</v>
      </c>
      <c r="AO34" s="13">
        <v>4</v>
      </c>
      <c r="AP34" s="26">
        <v>5.4054054054054057E-2</v>
      </c>
      <c r="AQ34" s="13"/>
      <c r="AR34" s="281">
        <v>78</v>
      </c>
      <c r="AS34" s="281">
        <v>71</v>
      </c>
      <c r="AT34" s="281">
        <v>3</v>
      </c>
      <c r="AU34" s="84">
        <f t="shared" si="0"/>
        <v>4.2253521126760563E-2</v>
      </c>
      <c r="AV34" s="281">
        <v>1</v>
      </c>
      <c r="AW34" s="84">
        <f t="shared" si="1"/>
        <v>1.4084507042253521E-2</v>
      </c>
      <c r="AX34" s="159" t="str">
        <f t="shared" si="2"/>
        <v>No</v>
      </c>
      <c r="AY34" t="s">
        <v>359</v>
      </c>
      <c r="AZ34">
        <v>78</v>
      </c>
      <c r="BA34">
        <v>71</v>
      </c>
      <c r="BB34">
        <v>3</v>
      </c>
      <c r="BC34" s="222">
        <v>4.2253521126760563E-2</v>
      </c>
      <c r="BD34">
        <v>1</v>
      </c>
      <c r="BE34" s="222">
        <v>1.4084507042253521E-2</v>
      </c>
    </row>
    <row r="35" spans="1:57" x14ac:dyDescent="0.25">
      <c r="A35" s="16" t="s">
        <v>16</v>
      </c>
      <c r="B35" s="13">
        <v>30</v>
      </c>
      <c r="C35" s="13">
        <v>26</v>
      </c>
      <c r="D35" s="13">
        <v>0</v>
      </c>
      <c r="E35" s="26">
        <v>0</v>
      </c>
      <c r="F35" s="13">
        <v>0</v>
      </c>
      <c r="G35" s="26">
        <v>0</v>
      </c>
      <c r="H35" s="13"/>
      <c r="I35" s="13">
        <v>33</v>
      </c>
      <c r="J35" s="13">
        <v>31</v>
      </c>
      <c r="K35" s="13">
        <v>0</v>
      </c>
      <c r="L35" s="26">
        <v>0</v>
      </c>
      <c r="M35" s="13">
        <v>0</v>
      </c>
      <c r="N35" s="26">
        <v>0</v>
      </c>
      <c r="O35" s="13"/>
      <c r="P35" s="13">
        <v>36</v>
      </c>
      <c r="Q35" s="13">
        <v>31</v>
      </c>
      <c r="R35" s="13">
        <v>1</v>
      </c>
      <c r="S35" s="26">
        <v>3.2258064516129031E-2</v>
      </c>
      <c r="T35" s="13">
        <v>0</v>
      </c>
      <c r="U35" s="26">
        <v>0</v>
      </c>
      <c r="V35" s="13"/>
      <c r="W35" s="13">
        <v>39</v>
      </c>
      <c r="X35" s="13">
        <v>37</v>
      </c>
      <c r="Y35" s="13">
        <v>1</v>
      </c>
      <c r="Z35" s="26">
        <v>2.7027027027027029E-2</v>
      </c>
      <c r="AA35" s="13">
        <v>0</v>
      </c>
      <c r="AB35" s="26">
        <v>0</v>
      </c>
      <c r="AC35" s="13"/>
      <c r="AD35" s="13">
        <v>41</v>
      </c>
      <c r="AE35" s="13">
        <v>35</v>
      </c>
      <c r="AF35" s="13">
        <v>2</v>
      </c>
      <c r="AG35" s="26">
        <v>5.7142857142857141E-2</v>
      </c>
      <c r="AH35" s="13">
        <v>0</v>
      </c>
      <c r="AI35" s="26">
        <v>0</v>
      </c>
      <c r="AJ35" s="13"/>
      <c r="AK35" s="13">
        <v>40</v>
      </c>
      <c r="AL35" s="13">
        <v>40</v>
      </c>
      <c r="AM35" s="13">
        <v>2</v>
      </c>
      <c r="AN35" s="26">
        <v>0.05</v>
      </c>
      <c r="AO35" s="13"/>
      <c r="AP35" s="26">
        <v>0</v>
      </c>
      <c r="AQ35" s="13"/>
      <c r="AR35" s="281">
        <v>35</v>
      </c>
      <c r="AS35" s="281">
        <v>33</v>
      </c>
      <c r="AT35" s="281">
        <v>2</v>
      </c>
      <c r="AU35" s="84">
        <f t="shared" si="0"/>
        <v>6.0606060606060608E-2</v>
      </c>
      <c r="AV35" s="281"/>
      <c r="AW35" s="84">
        <f t="shared" si="1"/>
        <v>0</v>
      </c>
      <c r="AX35" s="159" t="str">
        <f t="shared" si="2"/>
        <v>OK</v>
      </c>
      <c r="AY35" t="s">
        <v>16</v>
      </c>
      <c r="AZ35">
        <v>35</v>
      </c>
      <c r="BA35">
        <v>33</v>
      </c>
      <c r="BB35">
        <v>2</v>
      </c>
      <c r="BC35" s="222">
        <v>6.0606060606060608E-2</v>
      </c>
      <c r="BE35" s="222">
        <v>0</v>
      </c>
    </row>
    <row r="36" spans="1:57" x14ac:dyDescent="0.25">
      <c r="A36" s="16" t="s">
        <v>17</v>
      </c>
      <c r="B36" s="13">
        <v>198</v>
      </c>
      <c r="C36" s="13">
        <v>187</v>
      </c>
      <c r="D36" s="13">
        <v>22</v>
      </c>
      <c r="E36" s="26">
        <v>0.11764705882352941</v>
      </c>
      <c r="F36" s="13">
        <v>5</v>
      </c>
      <c r="G36" s="26">
        <v>2.6737967914438502E-2</v>
      </c>
      <c r="H36" s="13"/>
      <c r="I36" s="13">
        <v>198</v>
      </c>
      <c r="J36" s="13">
        <v>187</v>
      </c>
      <c r="K36" s="13">
        <v>16</v>
      </c>
      <c r="L36" s="26">
        <v>8.5561497326203204E-2</v>
      </c>
      <c r="M36" s="13">
        <v>7</v>
      </c>
      <c r="N36" s="26">
        <v>3.7433155080213901E-2</v>
      </c>
      <c r="O36" s="13"/>
      <c r="P36" s="13">
        <v>189</v>
      </c>
      <c r="Q36" s="13">
        <v>172</v>
      </c>
      <c r="R36" s="13">
        <v>13</v>
      </c>
      <c r="S36" s="26">
        <v>7.5581395348837205E-2</v>
      </c>
      <c r="T36" s="13">
        <v>6</v>
      </c>
      <c r="U36" s="26">
        <v>3.4883720930232558E-2</v>
      </c>
      <c r="V36" s="13"/>
      <c r="W36" s="13">
        <v>200</v>
      </c>
      <c r="X36" s="13">
        <v>188</v>
      </c>
      <c r="Y36" s="13">
        <v>21</v>
      </c>
      <c r="Z36" s="26">
        <v>0.11170212765957446</v>
      </c>
      <c r="AA36" s="13">
        <v>5</v>
      </c>
      <c r="AB36" s="26">
        <v>2.6595744680851064E-2</v>
      </c>
      <c r="AC36" s="13"/>
      <c r="AD36" s="13">
        <v>199</v>
      </c>
      <c r="AE36" s="13">
        <v>186</v>
      </c>
      <c r="AF36" s="13">
        <v>20</v>
      </c>
      <c r="AG36" s="26">
        <v>0.10752688172043011</v>
      </c>
      <c r="AH36" s="13">
        <v>4</v>
      </c>
      <c r="AI36" s="26">
        <v>2.1505376344086023E-2</v>
      </c>
      <c r="AJ36" s="13"/>
      <c r="AK36" s="13">
        <v>202</v>
      </c>
      <c r="AL36" s="13">
        <v>192</v>
      </c>
      <c r="AM36" s="13">
        <v>8</v>
      </c>
      <c r="AN36" s="26">
        <v>4.1666666666666664E-2</v>
      </c>
      <c r="AO36" s="13">
        <v>5</v>
      </c>
      <c r="AP36" s="26">
        <v>2.6041666666666668E-2</v>
      </c>
      <c r="AQ36" s="13"/>
      <c r="AR36" s="281">
        <v>183</v>
      </c>
      <c r="AS36" s="281">
        <v>175</v>
      </c>
      <c r="AT36" s="281">
        <v>1</v>
      </c>
      <c r="AU36" s="84">
        <f t="shared" si="0"/>
        <v>5.7142857142857143E-3</v>
      </c>
      <c r="AV36" s="281">
        <v>4</v>
      </c>
      <c r="AW36" s="84">
        <f t="shared" si="1"/>
        <v>2.2857142857142857E-2</v>
      </c>
      <c r="AX36" s="159" t="str">
        <f t="shared" si="2"/>
        <v>OK</v>
      </c>
      <c r="AY36" t="s">
        <v>17</v>
      </c>
      <c r="AZ36">
        <v>183</v>
      </c>
      <c r="BA36">
        <v>175</v>
      </c>
      <c r="BB36">
        <v>1</v>
      </c>
      <c r="BC36" s="222">
        <v>5.7142857142857143E-3</v>
      </c>
      <c r="BD36">
        <v>4</v>
      </c>
      <c r="BE36" s="222">
        <v>2.2857142857142857E-2</v>
      </c>
    </row>
    <row r="37" spans="1:57" x14ac:dyDescent="0.25">
      <c r="A37" s="16" t="s">
        <v>18</v>
      </c>
      <c r="B37" s="13">
        <v>18</v>
      </c>
      <c r="C37" s="13">
        <v>16</v>
      </c>
      <c r="D37" s="13">
        <v>0</v>
      </c>
      <c r="E37" s="26">
        <v>0</v>
      </c>
      <c r="F37" s="13">
        <v>0</v>
      </c>
      <c r="G37" s="26">
        <v>0</v>
      </c>
      <c r="H37" s="13"/>
      <c r="I37" s="13">
        <v>15</v>
      </c>
      <c r="J37" s="13">
        <v>13</v>
      </c>
      <c r="K37" s="13">
        <v>1</v>
      </c>
      <c r="L37" s="26">
        <v>7.6923076923076927E-2</v>
      </c>
      <c r="M37" s="13">
        <v>0</v>
      </c>
      <c r="N37" s="26">
        <v>0</v>
      </c>
      <c r="O37" s="13"/>
      <c r="P37" s="13">
        <v>15</v>
      </c>
      <c r="Q37" s="13">
        <v>14</v>
      </c>
      <c r="R37" s="13">
        <v>2</v>
      </c>
      <c r="S37" s="26">
        <v>0.14285714285714285</v>
      </c>
      <c r="T37" s="13">
        <v>0</v>
      </c>
      <c r="U37" s="26">
        <v>0</v>
      </c>
      <c r="V37" s="13"/>
      <c r="W37" s="13">
        <v>15</v>
      </c>
      <c r="X37" s="13">
        <v>13</v>
      </c>
      <c r="Y37" s="13">
        <v>0</v>
      </c>
      <c r="Z37" s="26">
        <v>0</v>
      </c>
      <c r="AA37" s="13">
        <v>0</v>
      </c>
      <c r="AB37" s="26">
        <v>0</v>
      </c>
      <c r="AC37" s="13"/>
      <c r="AD37" s="13">
        <v>17</v>
      </c>
      <c r="AE37" s="13">
        <v>16</v>
      </c>
      <c r="AF37" s="13">
        <v>0</v>
      </c>
      <c r="AG37" s="26">
        <v>0</v>
      </c>
      <c r="AH37" s="13">
        <v>0</v>
      </c>
      <c r="AI37" s="26">
        <v>0</v>
      </c>
      <c r="AJ37" s="13"/>
      <c r="AK37" s="13">
        <v>19</v>
      </c>
      <c r="AL37" s="13">
        <v>17</v>
      </c>
      <c r="AM37" s="13"/>
      <c r="AN37" s="26">
        <v>0</v>
      </c>
      <c r="AO37" s="13"/>
      <c r="AP37" s="26">
        <v>0</v>
      </c>
      <c r="AQ37" s="13"/>
      <c r="AR37" s="281">
        <v>22</v>
      </c>
      <c r="AS37" s="281">
        <v>20</v>
      </c>
      <c r="AT37" s="281"/>
      <c r="AU37" s="84">
        <f t="shared" si="0"/>
        <v>0</v>
      </c>
      <c r="AV37" s="281"/>
      <c r="AW37" s="84">
        <f t="shared" si="1"/>
        <v>0</v>
      </c>
      <c r="AX37" s="159" t="str">
        <f t="shared" si="2"/>
        <v>OK</v>
      </c>
      <c r="AY37" t="s">
        <v>18</v>
      </c>
      <c r="AZ37">
        <v>22</v>
      </c>
      <c r="BA37">
        <v>20</v>
      </c>
      <c r="BC37" s="222">
        <v>0</v>
      </c>
      <c r="BE37" s="222">
        <v>0</v>
      </c>
    </row>
    <row r="38" spans="1:57" x14ac:dyDescent="0.25">
      <c r="A38" s="16" t="s">
        <v>360</v>
      </c>
      <c r="B38" s="13"/>
      <c r="C38" s="13"/>
      <c r="D38" s="13"/>
      <c r="E38" s="26"/>
      <c r="F38" s="13"/>
      <c r="G38" s="26"/>
      <c r="H38" s="13"/>
      <c r="I38" s="13">
        <v>2</v>
      </c>
      <c r="J38" s="13">
        <v>2</v>
      </c>
      <c r="K38" s="13">
        <v>0</v>
      </c>
      <c r="L38" s="26">
        <v>0</v>
      </c>
      <c r="M38" s="13">
        <v>0</v>
      </c>
      <c r="N38" s="26">
        <v>0</v>
      </c>
      <c r="O38" s="13"/>
      <c r="P38" s="13">
        <v>2</v>
      </c>
      <c r="Q38" s="13">
        <v>2</v>
      </c>
      <c r="R38" s="13">
        <v>0</v>
      </c>
      <c r="S38" s="26">
        <v>0</v>
      </c>
      <c r="T38" s="13">
        <v>0</v>
      </c>
      <c r="U38" s="26">
        <v>0</v>
      </c>
      <c r="V38" s="13"/>
      <c r="W38" s="13">
        <v>2</v>
      </c>
      <c r="X38" s="13">
        <v>2</v>
      </c>
      <c r="Y38" s="13">
        <v>0</v>
      </c>
      <c r="Z38" s="26">
        <v>0</v>
      </c>
      <c r="AA38" s="13">
        <v>0</v>
      </c>
      <c r="AB38" s="26">
        <v>0</v>
      </c>
      <c r="AC38" s="13"/>
      <c r="AD38" s="13">
        <v>3</v>
      </c>
      <c r="AE38" s="13">
        <v>3</v>
      </c>
      <c r="AF38" s="13">
        <v>0</v>
      </c>
      <c r="AG38" s="26">
        <v>0</v>
      </c>
      <c r="AH38" s="13">
        <v>1</v>
      </c>
      <c r="AI38" s="26">
        <v>0.33333333333333331</v>
      </c>
      <c r="AJ38" s="13"/>
      <c r="AK38" s="13">
        <v>3</v>
      </c>
      <c r="AL38" s="13">
        <v>3</v>
      </c>
      <c r="AM38" s="13"/>
      <c r="AN38" s="26">
        <v>0</v>
      </c>
      <c r="AO38" s="13">
        <v>1</v>
      </c>
      <c r="AP38" s="26">
        <v>0.33333333333333331</v>
      </c>
      <c r="AQ38" s="13"/>
      <c r="AR38" s="281">
        <v>3</v>
      </c>
      <c r="AS38" s="281">
        <v>3</v>
      </c>
      <c r="AT38" s="281"/>
      <c r="AU38" s="84">
        <f t="shared" si="0"/>
        <v>0</v>
      </c>
      <c r="AV38" s="281"/>
      <c r="AW38" s="84">
        <f t="shared" si="1"/>
        <v>0</v>
      </c>
      <c r="AX38" s="159" t="str">
        <f t="shared" si="2"/>
        <v>OK</v>
      </c>
      <c r="AY38" t="s">
        <v>360</v>
      </c>
      <c r="AZ38">
        <v>3</v>
      </c>
      <c r="BA38">
        <v>3</v>
      </c>
      <c r="BC38" s="222">
        <v>0</v>
      </c>
      <c r="BE38" s="222">
        <v>0</v>
      </c>
    </row>
    <row r="39" spans="1:57" x14ac:dyDescent="0.25">
      <c r="A39" s="16" t="s">
        <v>19</v>
      </c>
      <c r="B39" s="13">
        <v>63</v>
      </c>
      <c r="C39" s="13">
        <v>62</v>
      </c>
      <c r="D39" s="13">
        <v>13</v>
      </c>
      <c r="E39" s="26">
        <v>0.20967741935483872</v>
      </c>
      <c r="F39" s="13">
        <v>3</v>
      </c>
      <c r="G39" s="26">
        <v>4.8387096774193547E-2</v>
      </c>
      <c r="H39" s="13"/>
      <c r="I39" s="13">
        <v>58</v>
      </c>
      <c r="J39" s="13">
        <v>57</v>
      </c>
      <c r="K39" s="13">
        <v>6</v>
      </c>
      <c r="L39" s="26">
        <v>0.10526315789473684</v>
      </c>
      <c r="M39" s="13">
        <v>1</v>
      </c>
      <c r="N39" s="26">
        <v>1.7543859649122806E-2</v>
      </c>
      <c r="O39" s="13"/>
      <c r="P39" s="13">
        <v>61</v>
      </c>
      <c r="Q39" s="13">
        <v>58</v>
      </c>
      <c r="R39" s="13">
        <v>1</v>
      </c>
      <c r="S39" s="26">
        <v>1.7241379310344827E-2</v>
      </c>
      <c r="T39" s="13">
        <v>0</v>
      </c>
      <c r="U39" s="26">
        <v>0</v>
      </c>
      <c r="V39" s="13"/>
      <c r="W39" s="13">
        <v>62</v>
      </c>
      <c r="X39" s="13">
        <v>60</v>
      </c>
      <c r="Y39" s="13">
        <v>0</v>
      </c>
      <c r="Z39" s="26">
        <v>0</v>
      </c>
      <c r="AA39" s="13">
        <v>1</v>
      </c>
      <c r="AB39" s="26">
        <v>1.6666666666666666E-2</v>
      </c>
      <c r="AC39" s="13"/>
      <c r="AD39" s="13">
        <v>61</v>
      </c>
      <c r="AE39" s="13">
        <v>60</v>
      </c>
      <c r="AF39" s="13">
        <v>1</v>
      </c>
      <c r="AG39" s="26">
        <v>1.6666666666666666E-2</v>
      </c>
      <c r="AH39" s="13">
        <v>1</v>
      </c>
      <c r="AI39" s="26">
        <v>1.6666666666666666E-2</v>
      </c>
      <c r="AJ39" s="13"/>
      <c r="AK39" s="13">
        <v>66</v>
      </c>
      <c r="AL39" s="13">
        <v>64</v>
      </c>
      <c r="AM39" s="13">
        <v>2</v>
      </c>
      <c r="AN39" s="26">
        <v>3.125E-2</v>
      </c>
      <c r="AO39" s="13"/>
      <c r="AP39" s="26">
        <v>0</v>
      </c>
      <c r="AQ39" s="13"/>
      <c r="AR39" s="281">
        <v>65</v>
      </c>
      <c r="AS39" s="281">
        <v>61</v>
      </c>
      <c r="AT39" s="281">
        <v>3</v>
      </c>
      <c r="AU39" s="84">
        <f t="shared" si="0"/>
        <v>4.9180327868852458E-2</v>
      </c>
      <c r="AV39" s="281"/>
      <c r="AW39" s="84">
        <f t="shared" si="1"/>
        <v>0</v>
      </c>
      <c r="AX39" s="159" t="str">
        <f t="shared" si="2"/>
        <v>OK</v>
      </c>
      <c r="AY39" t="s">
        <v>19</v>
      </c>
      <c r="AZ39">
        <v>65</v>
      </c>
      <c r="BA39">
        <v>61</v>
      </c>
      <c r="BB39">
        <v>3</v>
      </c>
      <c r="BC39" s="222">
        <v>4.9180327868852458E-2</v>
      </c>
      <c r="BE39" s="222">
        <v>0</v>
      </c>
    </row>
    <row r="40" spans="1:57" x14ac:dyDescent="0.25">
      <c r="A40" s="16" t="s">
        <v>385</v>
      </c>
      <c r="B40" s="13">
        <v>152</v>
      </c>
      <c r="C40" s="13">
        <v>138</v>
      </c>
      <c r="D40" s="13">
        <v>3</v>
      </c>
      <c r="E40" s="26">
        <v>2.1739130434782608E-2</v>
      </c>
      <c r="F40" s="13">
        <v>3</v>
      </c>
      <c r="G40" s="26">
        <v>2.1739130434782608E-2</v>
      </c>
      <c r="H40" s="13"/>
      <c r="I40" s="13">
        <v>158</v>
      </c>
      <c r="J40" s="13">
        <v>146</v>
      </c>
      <c r="K40" s="13">
        <v>3</v>
      </c>
      <c r="L40" s="26">
        <v>2.0547945205479451E-2</v>
      </c>
      <c r="M40" s="13">
        <v>3</v>
      </c>
      <c r="N40" s="26">
        <v>2.0547945205479451E-2</v>
      </c>
      <c r="O40" s="13"/>
      <c r="P40" s="13">
        <v>151</v>
      </c>
      <c r="Q40" s="13">
        <v>141</v>
      </c>
      <c r="R40" s="13">
        <v>2</v>
      </c>
      <c r="S40" s="26">
        <v>1.4184397163120567E-2</v>
      </c>
      <c r="T40" s="13">
        <v>5</v>
      </c>
      <c r="U40" s="26">
        <v>3.5460992907801421E-2</v>
      </c>
      <c r="V40" s="13"/>
      <c r="W40" s="13">
        <v>143</v>
      </c>
      <c r="X40" s="13">
        <v>125</v>
      </c>
      <c r="Y40" s="13">
        <v>2</v>
      </c>
      <c r="Z40" s="26">
        <v>1.6E-2</v>
      </c>
      <c r="AA40" s="13">
        <v>2</v>
      </c>
      <c r="AB40" s="26">
        <v>1.6E-2</v>
      </c>
      <c r="AC40" s="13"/>
      <c r="AD40" s="13">
        <v>137</v>
      </c>
      <c r="AE40" s="13">
        <v>125</v>
      </c>
      <c r="AF40" s="13">
        <v>0</v>
      </c>
      <c r="AG40" s="26">
        <v>0</v>
      </c>
      <c r="AH40" s="13">
        <v>7</v>
      </c>
      <c r="AI40" s="26">
        <v>5.6000000000000001E-2</v>
      </c>
      <c r="AJ40" s="13"/>
      <c r="AK40" s="13">
        <v>98</v>
      </c>
      <c r="AL40" s="13">
        <v>92</v>
      </c>
      <c r="AM40" s="13"/>
      <c r="AN40" s="26">
        <v>0</v>
      </c>
      <c r="AO40" s="13">
        <v>5</v>
      </c>
      <c r="AP40" s="26">
        <v>5.434782608695652E-2</v>
      </c>
      <c r="AQ40" s="13"/>
      <c r="AR40" s="281">
        <v>94</v>
      </c>
      <c r="AS40" s="281">
        <v>89</v>
      </c>
      <c r="AT40" s="281"/>
      <c r="AU40" s="84">
        <f t="shared" si="0"/>
        <v>0</v>
      </c>
      <c r="AV40" s="281">
        <v>4</v>
      </c>
      <c r="AW40" s="84">
        <f t="shared" si="1"/>
        <v>4.49438202247191E-2</v>
      </c>
      <c r="AX40" s="159" t="str">
        <f t="shared" si="2"/>
        <v>OK</v>
      </c>
      <c r="AY40" t="s">
        <v>385</v>
      </c>
      <c r="AZ40">
        <v>94</v>
      </c>
      <c r="BA40">
        <v>89</v>
      </c>
      <c r="BC40" s="222">
        <v>0</v>
      </c>
      <c r="BD40">
        <v>4</v>
      </c>
      <c r="BE40" s="222">
        <v>4.49438202247191E-2</v>
      </c>
    </row>
    <row r="41" spans="1:57" x14ac:dyDescent="0.25">
      <c r="A41" s="16" t="s">
        <v>31</v>
      </c>
      <c r="B41" s="13">
        <v>37</v>
      </c>
      <c r="C41" s="13">
        <v>37</v>
      </c>
      <c r="D41" s="13">
        <v>1</v>
      </c>
      <c r="E41" s="26">
        <v>2.7027027027027029E-2</v>
      </c>
      <c r="F41" s="13">
        <v>1</v>
      </c>
      <c r="G41" s="26">
        <v>2.7027027027027029E-2</v>
      </c>
      <c r="H41" s="13"/>
      <c r="I41" s="13">
        <v>41</v>
      </c>
      <c r="J41" s="13">
        <v>41</v>
      </c>
      <c r="K41" s="13">
        <v>1</v>
      </c>
      <c r="L41" s="26">
        <v>2.4390243902439025E-2</v>
      </c>
      <c r="M41" s="13">
        <v>1</v>
      </c>
      <c r="N41" s="26">
        <v>2.4390243902439025E-2</v>
      </c>
      <c r="O41" s="13"/>
      <c r="P41" s="13">
        <v>39</v>
      </c>
      <c r="Q41" s="13">
        <v>39</v>
      </c>
      <c r="R41" s="13">
        <v>1</v>
      </c>
      <c r="S41" s="26">
        <v>2.564102564102564E-2</v>
      </c>
      <c r="T41" s="13">
        <v>1</v>
      </c>
      <c r="U41" s="26">
        <v>2.564102564102564E-2</v>
      </c>
      <c r="V41" s="13"/>
      <c r="W41" s="13">
        <v>41</v>
      </c>
      <c r="X41" s="13">
        <v>39</v>
      </c>
      <c r="Y41" s="13">
        <v>1</v>
      </c>
      <c r="Z41" s="26">
        <v>2.564102564102564E-2</v>
      </c>
      <c r="AA41" s="13">
        <v>0</v>
      </c>
      <c r="AB41" s="26">
        <v>0</v>
      </c>
      <c r="AC41" s="13"/>
      <c r="AD41" s="13">
        <v>40</v>
      </c>
      <c r="AE41" s="13">
        <v>40</v>
      </c>
      <c r="AF41" s="13">
        <v>2</v>
      </c>
      <c r="AG41" s="26">
        <v>0.05</v>
      </c>
      <c r="AH41" s="13">
        <v>0</v>
      </c>
      <c r="AI41" s="26">
        <v>0</v>
      </c>
      <c r="AJ41" s="13"/>
      <c r="AK41" s="13">
        <v>42</v>
      </c>
      <c r="AL41" s="13">
        <v>38</v>
      </c>
      <c r="AM41" s="13">
        <v>2</v>
      </c>
      <c r="AN41" s="26">
        <v>5.2631578947368418E-2</v>
      </c>
      <c r="AO41" s="13">
        <v>1</v>
      </c>
      <c r="AP41" s="26">
        <v>2.6315789473684209E-2</v>
      </c>
      <c r="AQ41" s="13"/>
      <c r="AR41" s="281">
        <v>46</v>
      </c>
      <c r="AS41" s="281">
        <v>43</v>
      </c>
      <c r="AT41" s="281">
        <v>1</v>
      </c>
      <c r="AU41" s="84">
        <f t="shared" si="0"/>
        <v>2.3255813953488372E-2</v>
      </c>
      <c r="AV41" s="281"/>
      <c r="AW41" s="84">
        <f t="shared" si="1"/>
        <v>0</v>
      </c>
      <c r="AX41" s="159" t="str">
        <f t="shared" si="2"/>
        <v>OK</v>
      </c>
      <c r="AY41" t="s">
        <v>31</v>
      </c>
      <c r="AZ41">
        <v>46</v>
      </c>
      <c r="BA41">
        <v>43</v>
      </c>
      <c r="BB41">
        <v>1</v>
      </c>
      <c r="BC41" s="222">
        <v>2.3255813953488372E-2</v>
      </c>
      <c r="BE41" s="222">
        <v>0</v>
      </c>
    </row>
    <row r="42" spans="1:57" x14ac:dyDescent="0.25">
      <c r="A42" s="16" t="s">
        <v>20</v>
      </c>
      <c r="B42" s="13">
        <v>89</v>
      </c>
      <c r="C42" s="13">
        <v>82</v>
      </c>
      <c r="D42" s="13">
        <v>3</v>
      </c>
      <c r="E42" s="26">
        <v>3.6585365853658534E-2</v>
      </c>
      <c r="F42" s="13">
        <v>8</v>
      </c>
      <c r="G42" s="26">
        <v>9.7560975609756101E-2</v>
      </c>
      <c r="H42" s="13"/>
      <c r="I42" s="13">
        <v>78</v>
      </c>
      <c r="J42" s="13">
        <v>73</v>
      </c>
      <c r="K42" s="13">
        <v>3</v>
      </c>
      <c r="L42" s="26">
        <v>4.1095890410958902E-2</v>
      </c>
      <c r="M42" s="13">
        <v>1</v>
      </c>
      <c r="N42" s="26">
        <v>1.3698630136986301E-2</v>
      </c>
      <c r="O42" s="13"/>
      <c r="P42" s="13">
        <v>81</v>
      </c>
      <c r="Q42" s="13">
        <v>72</v>
      </c>
      <c r="R42" s="13">
        <v>2</v>
      </c>
      <c r="S42" s="26">
        <v>2.7777777777777776E-2</v>
      </c>
      <c r="T42" s="13">
        <v>6</v>
      </c>
      <c r="U42" s="26">
        <v>8.3333333333333329E-2</v>
      </c>
      <c r="V42" s="13"/>
      <c r="W42" s="13">
        <v>92</v>
      </c>
      <c r="X42" s="13">
        <v>83</v>
      </c>
      <c r="Y42" s="13">
        <v>2</v>
      </c>
      <c r="Z42" s="26">
        <v>2.4096385542168676E-2</v>
      </c>
      <c r="AA42" s="13">
        <v>2</v>
      </c>
      <c r="AB42" s="26">
        <v>2.4096385542168676E-2</v>
      </c>
      <c r="AC42" s="13"/>
      <c r="AD42" s="13">
        <v>91</v>
      </c>
      <c r="AE42" s="13">
        <v>87</v>
      </c>
      <c r="AF42" s="13">
        <v>3</v>
      </c>
      <c r="AG42" s="26">
        <v>3.4482758620689655E-2</v>
      </c>
      <c r="AH42" s="13">
        <v>3</v>
      </c>
      <c r="AI42" s="26">
        <v>3.4482758620689655E-2</v>
      </c>
      <c r="AJ42" s="13"/>
      <c r="AK42" s="13">
        <v>95</v>
      </c>
      <c r="AL42" s="13">
        <v>90</v>
      </c>
      <c r="AM42" s="13">
        <v>2</v>
      </c>
      <c r="AN42" s="26">
        <v>2.2222222222222223E-2</v>
      </c>
      <c r="AO42" s="13">
        <v>6</v>
      </c>
      <c r="AP42" s="26">
        <v>6.6666666666666666E-2</v>
      </c>
      <c r="AQ42" s="13"/>
      <c r="AR42" s="281">
        <v>99</v>
      </c>
      <c r="AS42" s="281">
        <v>95</v>
      </c>
      <c r="AT42" s="281">
        <v>4</v>
      </c>
      <c r="AU42" s="84">
        <f t="shared" si="0"/>
        <v>4.2105263157894736E-2</v>
      </c>
      <c r="AV42" s="281">
        <v>6</v>
      </c>
      <c r="AW42" s="84">
        <f t="shared" si="1"/>
        <v>6.3157894736842107E-2</v>
      </c>
      <c r="AX42" s="159" t="str">
        <f t="shared" si="2"/>
        <v>OK</v>
      </c>
      <c r="AY42" t="s">
        <v>20</v>
      </c>
      <c r="AZ42">
        <v>99</v>
      </c>
      <c r="BA42">
        <v>95</v>
      </c>
      <c r="BB42">
        <v>4</v>
      </c>
      <c r="BC42" s="222">
        <v>4.2105263157894736E-2</v>
      </c>
      <c r="BD42">
        <v>6</v>
      </c>
      <c r="BE42" s="222">
        <v>6.3157894736842107E-2</v>
      </c>
    </row>
    <row r="43" spans="1:57" x14ac:dyDescent="0.25">
      <c r="A43" s="16" t="s">
        <v>42</v>
      </c>
      <c r="B43" s="13">
        <v>270</v>
      </c>
      <c r="C43" s="13">
        <v>255</v>
      </c>
      <c r="D43" s="13">
        <v>9</v>
      </c>
      <c r="E43" s="26">
        <v>3.5294117647058823E-2</v>
      </c>
      <c r="F43" s="13">
        <v>7</v>
      </c>
      <c r="G43" s="26">
        <v>2.7450980392156862E-2</v>
      </c>
      <c r="H43" s="13"/>
      <c r="I43" s="13">
        <v>302</v>
      </c>
      <c r="J43" s="13">
        <v>279</v>
      </c>
      <c r="K43" s="13">
        <v>13</v>
      </c>
      <c r="L43" s="26">
        <v>4.6594982078853049E-2</v>
      </c>
      <c r="M43" s="13">
        <v>8</v>
      </c>
      <c r="N43" s="26">
        <v>2.8673835125448029E-2</v>
      </c>
      <c r="O43" s="13"/>
      <c r="P43" s="13">
        <v>292</v>
      </c>
      <c r="Q43" s="13">
        <v>280</v>
      </c>
      <c r="R43" s="13">
        <v>17</v>
      </c>
      <c r="S43" s="26">
        <v>6.0714285714285714E-2</v>
      </c>
      <c r="T43" s="13">
        <v>9</v>
      </c>
      <c r="U43" s="26">
        <v>3.214285714285714E-2</v>
      </c>
      <c r="V43" s="13"/>
      <c r="W43" s="13">
        <v>302</v>
      </c>
      <c r="X43" s="13">
        <v>265</v>
      </c>
      <c r="Y43" s="13">
        <v>13</v>
      </c>
      <c r="Z43" s="26">
        <v>4.9056603773584909E-2</v>
      </c>
      <c r="AA43" s="13">
        <v>8</v>
      </c>
      <c r="AB43" s="26">
        <v>3.0188679245283019E-2</v>
      </c>
      <c r="AC43" s="13"/>
      <c r="AD43" s="13">
        <v>281</v>
      </c>
      <c r="AE43" s="13">
        <v>261</v>
      </c>
      <c r="AF43" s="13">
        <v>3</v>
      </c>
      <c r="AG43" s="26">
        <v>1.1494252873563218E-2</v>
      </c>
      <c r="AH43" s="13">
        <v>1</v>
      </c>
      <c r="AI43" s="26">
        <v>3.8314176245210726E-3</v>
      </c>
      <c r="AJ43" s="13"/>
      <c r="AK43" s="13">
        <v>288</v>
      </c>
      <c r="AL43" s="13">
        <v>270</v>
      </c>
      <c r="AM43" s="13">
        <v>4</v>
      </c>
      <c r="AN43" s="26">
        <v>1.4814814814814815E-2</v>
      </c>
      <c r="AO43" s="13">
        <v>6</v>
      </c>
      <c r="AP43" s="26">
        <v>2.2222222222222223E-2</v>
      </c>
      <c r="AQ43" s="13"/>
      <c r="AR43" s="281">
        <v>281</v>
      </c>
      <c r="AS43" s="281">
        <v>266</v>
      </c>
      <c r="AT43" s="281">
        <v>3</v>
      </c>
      <c r="AU43" s="84">
        <f t="shared" si="0"/>
        <v>1.1278195488721804E-2</v>
      </c>
      <c r="AV43" s="281">
        <v>8</v>
      </c>
      <c r="AW43" s="84">
        <f t="shared" si="1"/>
        <v>3.007518796992481E-2</v>
      </c>
      <c r="AX43" s="159" t="str">
        <f t="shared" si="2"/>
        <v>OK</v>
      </c>
      <c r="AY43" t="s">
        <v>42</v>
      </c>
      <c r="AZ43">
        <v>281</v>
      </c>
      <c r="BA43">
        <v>266</v>
      </c>
      <c r="BB43">
        <v>3</v>
      </c>
      <c r="BC43" s="222">
        <v>1.1278195488721804E-2</v>
      </c>
      <c r="BD43">
        <v>8</v>
      </c>
      <c r="BE43" s="222">
        <v>3.007518796992481E-2</v>
      </c>
    </row>
    <row r="44" spans="1:57" x14ac:dyDescent="0.25">
      <c r="A44" s="16" t="s">
        <v>43</v>
      </c>
      <c r="B44" s="13">
        <v>255</v>
      </c>
      <c r="C44" s="13">
        <v>244</v>
      </c>
      <c r="D44" s="13">
        <v>14</v>
      </c>
      <c r="E44" s="26">
        <v>5.737704918032787E-2</v>
      </c>
      <c r="F44" s="13">
        <v>7</v>
      </c>
      <c r="G44" s="26">
        <v>2.8688524590163935E-2</v>
      </c>
      <c r="H44" s="13"/>
      <c r="I44" s="13">
        <v>192</v>
      </c>
      <c r="J44" s="13">
        <v>183</v>
      </c>
      <c r="K44" s="13">
        <v>11</v>
      </c>
      <c r="L44" s="26">
        <v>6.0109289617486336E-2</v>
      </c>
      <c r="M44" s="13">
        <v>2</v>
      </c>
      <c r="N44" s="26">
        <v>1.092896174863388E-2</v>
      </c>
      <c r="O44" s="13"/>
      <c r="P44" s="13">
        <v>199</v>
      </c>
      <c r="Q44" s="13">
        <v>180</v>
      </c>
      <c r="R44" s="13">
        <v>7</v>
      </c>
      <c r="S44" s="26">
        <v>3.888888888888889E-2</v>
      </c>
      <c r="T44" s="13">
        <v>4</v>
      </c>
      <c r="U44" s="26">
        <v>2.2222222222222223E-2</v>
      </c>
      <c r="V44" s="13"/>
      <c r="W44" s="13">
        <v>201</v>
      </c>
      <c r="X44" s="13">
        <v>179</v>
      </c>
      <c r="Y44" s="13">
        <v>10</v>
      </c>
      <c r="Z44" s="26">
        <v>5.5865921787709494E-2</v>
      </c>
      <c r="AA44" s="13">
        <v>1</v>
      </c>
      <c r="AB44" s="26">
        <v>5.5865921787709499E-3</v>
      </c>
      <c r="AC44" s="13"/>
      <c r="AD44" s="13">
        <v>180</v>
      </c>
      <c r="AE44" s="13">
        <v>171</v>
      </c>
      <c r="AF44" s="13">
        <v>6</v>
      </c>
      <c r="AG44" s="26">
        <v>3.5087719298245612E-2</v>
      </c>
      <c r="AH44" s="13">
        <v>1</v>
      </c>
      <c r="AI44" s="26">
        <v>5.8479532163742687E-3</v>
      </c>
      <c r="AJ44" s="13"/>
      <c r="AK44" s="13">
        <v>187</v>
      </c>
      <c r="AL44" s="13">
        <v>168</v>
      </c>
      <c r="AM44" s="13">
        <v>6</v>
      </c>
      <c r="AN44" s="26">
        <v>3.5714285714285712E-2</v>
      </c>
      <c r="AO44" s="13">
        <v>4</v>
      </c>
      <c r="AP44" s="26">
        <v>2.3809523809523808E-2</v>
      </c>
      <c r="AQ44" s="13"/>
      <c r="AR44" s="281">
        <v>179</v>
      </c>
      <c r="AS44" s="281">
        <v>171</v>
      </c>
      <c r="AT44" s="281"/>
      <c r="AU44" s="84">
        <f t="shared" si="0"/>
        <v>0</v>
      </c>
      <c r="AV44" s="281">
        <v>3</v>
      </c>
      <c r="AW44" s="84">
        <f t="shared" si="1"/>
        <v>1.7543859649122806E-2</v>
      </c>
      <c r="AX44" s="159" t="str">
        <f t="shared" si="2"/>
        <v>OK</v>
      </c>
      <c r="AY44" t="s">
        <v>43</v>
      </c>
      <c r="AZ44">
        <v>179</v>
      </c>
      <c r="BA44">
        <v>171</v>
      </c>
      <c r="BC44" s="222">
        <v>0</v>
      </c>
      <c r="BD44">
        <v>3</v>
      </c>
      <c r="BE44" s="222">
        <v>1.7543859649122806E-2</v>
      </c>
    </row>
    <row r="45" spans="1:57" x14ac:dyDescent="0.25">
      <c r="A45" s="16" t="s">
        <v>34</v>
      </c>
      <c r="B45" s="13">
        <v>13</v>
      </c>
      <c r="C45" s="13">
        <v>13</v>
      </c>
      <c r="D45" s="13">
        <v>0</v>
      </c>
      <c r="E45" s="26">
        <v>0</v>
      </c>
      <c r="F45" s="13">
        <v>0</v>
      </c>
      <c r="G45" s="26">
        <v>0</v>
      </c>
      <c r="H45" s="13"/>
      <c r="I45" s="13">
        <v>13</v>
      </c>
      <c r="J45" s="13">
        <v>13</v>
      </c>
      <c r="K45" s="13">
        <v>0</v>
      </c>
      <c r="L45" s="26">
        <v>0</v>
      </c>
      <c r="M45" s="13">
        <v>0</v>
      </c>
      <c r="N45" s="26">
        <v>0</v>
      </c>
      <c r="O45" s="13"/>
      <c r="P45" s="13">
        <v>13</v>
      </c>
      <c r="Q45" s="13">
        <v>13</v>
      </c>
      <c r="R45" s="13">
        <v>0</v>
      </c>
      <c r="S45" s="26">
        <v>0</v>
      </c>
      <c r="T45" s="13">
        <v>0</v>
      </c>
      <c r="U45" s="26">
        <v>0</v>
      </c>
      <c r="V45" s="13"/>
      <c r="W45" s="13">
        <v>12</v>
      </c>
      <c r="X45" s="13">
        <v>9</v>
      </c>
      <c r="Y45" s="13">
        <v>0</v>
      </c>
      <c r="Z45" s="26">
        <v>0</v>
      </c>
      <c r="AA45" s="13">
        <v>1</v>
      </c>
      <c r="AB45" s="26">
        <v>0.1111111111111111</v>
      </c>
      <c r="AC45" s="13"/>
      <c r="AD45" s="13">
        <v>11</v>
      </c>
      <c r="AE45" s="13">
        <v>10</v>
      </c>
      <c r="AF45" s="13">
        <v>0</v>
      </c>
      <c r="AG45" s="26">
        <v>0</v>
      </c>
      <c r="AH45" s="13">
        <v>1</v>
      </c>
      <c r="AI45" s="26">
        <v>0.1</v>
      </c>
      <c r="AJ45" s="13"/>
      <c r="AK45" s="13">
        <v>12</v>
      </c>
      <c r="AL45" s="13">
        <v>11</v>
      </c>
      <c r="AM45" s="13"/>
      <c r="AN45" s="26">
        <v>0</v>
      </c>
      <c r="AO45" s="13"/>
      <c r="AP45" s="26">
        <v>0</v>
      </c>
      <c r="AQ45" s="13"/>
      <c r="AR45" s="281">
        <v>11</v>
      </c>
      <c r="AS45" s="281">
        <v>11</v>
      </c>
      <c r="AT45" s="281"/>
      <c r="AU45" s="84">
        <f t="shared" si="0"/>
        <v>0</v>
      </c>
      <c r="AV45" s="281">
        <v>1</v>
      </c>
      <c r="AW45" s="84">
        <f t="shared" si="1"/>
        <v>9.0909090909090912E-2</v>
      </c>
      <c r="AX45" s="159" t="str">
        <f t="shared" si="2"/>
        <v>OK</v>
      </c>
      <c r="AY45" t="s">
        <v>34</v>
      </c>
      <c r="AZ45">
        <v>11</v>
      </c>
      <c r="BA45">
        <v>11</v>
      </c>
      <c r="BC45" s="222">
        <v>0</v>
      </c>
      <c r="BD45">
        <v>1</v>
      </c>
      <c r="BE45" s="222">
        <v>9.0909090909090912E-2</v>
      </c>
    </row>
    <row r="46" spans="1:57" x14ac:dyDescent="0.25">
      <c r="A46" s="16" t="s">
        <v>35</v>
      </c>
      <c r="B46" s="13">
        <v>2</v>
      </c>
      <c r="C46" s="13">
        <v>2</v>
      </c>
      <c r="D46" s="13">
        <v>0</v>
      </c>
      <c r="E46" s="26">
        <v>0</v>
      </c>
      <c r="F46" s="13">
        <v>0</v>
      </c>
      <c r="G46" s="26">
        <v>0</v>
      </c>
      <c r="H46" s="13"/>
      <c r="I46" s="13">
        <v>3</v>
      </c>
      <c r="J46" s="13">
        <v>2</v>
      </c>
      <c r="K46" s="13">
        <v>0</v>
      </c>
      <c r="L46" s="26">
        <v>0</v>
      </c>
      <c r="M46" s="13">
        <v>0</v>
      </c>
      <c r="N46" s="26">
        <v>0</v>
      </c>
      <c r="O46" s="13"/>
      <c r="P46" s="13">
        <v>4</v>
      </c>
      <c r="Q46" s="13">
        <v>4</v>
      </c>
      <c r="R46" s="13">
        <v>0</v>
      </c>
      <c r="S46" s="26">
        <v>0</v>
      </c>
      <c r="T46" s="13">
        <v>0</v>
      </c>
      <c r="U46" s="26">
        <v>0</v>
      </c>
      <c r="V46" s="13"/>
      <c r="W46" s="13">
        <v>5</v>
      </c>
      <c r="X46" s="13">
        <v>4</v>
      </c>
      <c r="Y46" s="13">
        <v>1</v>
      </c>
      <c r="Z46" s="26">
        <v>0.25</v>
      </c>
      <c r="AA46" s="13">
        <v>0</v>
      </c>
      <c r="AB46" s="26">
        <v>0</v>
      </c>
      <c r="AC46" s="13"/>
      <c r="AD46" s="13">
        <v>4</v>
      </c>
      <c r="AE46" s="13">
        <v>4</v>
      </c>
      <c r="AF46" s="13">
        <v>0</v>
      </c>
      <c r="AG46" s="26">
        <v>0</v>
      </c>
      <c r="AH46" s="13">
        <v>0</v>
      </c>
      <c r="AI46" s="26">
        <v>0</v>
      </c>
      <c r="AJ46" s="13"/>
      <c r="AK46" s="13">
        <v>4</v>
      </c>
      <c r="AL46" s="13">
        <v>4</v>
      </c>
      <c r="AM46" s="13"/>
      <c r="AN46" s="26">
        <v>0</v>
      </c>
      <c r="AO46" s="13"/>
      <c r="AP46" s="26">
        <v>0</v>
      </c>
      <c r="AQ46" s="13"/>
      <c r="AR46" s="281">
        <v>4</v>
      </c>
      <c r="AS46" s="281">
        <v>4</v>
      </c>
      <c r="AT46" s="281"/>
      <c r="AU46" s="84">
        <f t="shared" si="0"/>
        <v>0</v>
      </c>
      <c r="AV46" s="281"/>
      <c r="AW46" s="84">
        <f t="shared" si="1"/>
        <v>0</v>
      </c>
      <c r="AX46" s="159" t="str">
        <f t="shared" si="2"/>
        <v>OK</v>
      </c>
      <c r="AY46" t="s">
        <v>35</v>
      </c>
      <c r="AZ46">
        <v>4</v>
      </c>
      <c r="BA46">
        <v>4</v>
      </c>
      <c r="BC46" s="222">
        <v>0</v>
      </c>
      <c r="BE46" s="222">
        <v>0</v>
      </c>
    </row>
    <row r="47" spans="1:57" x14ac:dyDescent="0.25">
      <c r="A47" s="16" t="s">
        <v>386</v>
      </c>
      <c r="B47" s="13">
        <v>33</v>
      </c>
      <c r="C47" s="13">
        <v>32</v>
      </c>
      <c r="D47" s="13">
        <v>4</v>
      </c>
      <c r="E47" s="26">
        <v>0.125</v>
      </c>
      <c r="F47" s="13">
        <v>2</v>
      </c>
      <c r="G47" s="26">
        <v>6.25E-2</v>
      </c>
      <c r="H47" s="13"/>
      <c r="I47" s="13">
        <v>31</v>
      </c>
      <c r="J47" s="13">
        <v>29</v>
      </c>
      <c r="K47" s="13">
        <v>1</v>
      </c>
      <c r="L47" s="26">
        <v>3.4482758620689655E-2</v>
      </c>
      <c r="M47" s="13">
        <v>0</v>
      </c>
      <c r="N47" s="26">
        <v>0</v>
      </c>
      <c r="O47" s="13"/>
      <c r="P47" s="13">
        <v>28</v>
      </c>
      <c r="Q47" s="13">
        <v>27</v>
      </c>
      <c r="R47" s="13">
        <v>2</v>
      </c>
      <c r="S47" s="26">
        <v>7.407407407407407E-2</v>
      </c>
      <c r="T47" s="13">
        <v>1</v>
      </c>
      <c r="U47" s="26">
        <v>3.7037037037037035E-2</v>
      </c>
      <c r="V47" s="13"/>
      <c r="W47" s="13">
        <v>29</v>
      </c>
      <c r="X47" s="13">
        <v>28</v>
      </c>
      <c r="Y47" s="13">
        <v>1</v>
      </c>
      <c r="Z47" s="26">
        <v>3.5714285714285712E-2</v>
      </c>
      <c r="AA47" s="13">
        <v>1</v>
      </c>
      <c r="AB47" s="26">
        <v>3.5714285714285712E-2</v>
      </c>
      <c r="AC47" s="13"/>
      <c r="AD47" s="13">
        <v>31</v>
      </c>
      <c r="AE47" s="13">
        <v>29</v>
      </c>
      <c r="AF47" s="13">
        <v>1</v>
      </c>
      <c r="AG47" s="26">
        <v>3.4482758620689655E-2</v>
      </c>
      <c r="AH47" s="13">
        <v>1</v>
      </c>
      <c r="AI47" s="26">
        <v>3.4482758620689655E-2</v>
      </c>
      <c r="AJ47" s="13"/>
      <c r="AK47" s="13">
        <v>34</v>
      </c>
      <c r="AL47" s="13">
        <v>31</v>
      </c>
      <c r="AM47" s="13">
        <v>1</v>
      </c>
      <c r="AN47" s="26">
        <v>3.2258064516129031E-2</v>
      </c>
      <c r="AO47" s="13"/>
      <c r="AP47" s="26">
        <v>0</v>
      </c>
      <c r="AQ47" s="13"/>
      <c r="AR47" s="281">
        <v>35</v>
      </c>
      <c r="AS47" s="281">
        <v>35</v>
      </c>
      <c r="AT47" s="281">
        <v>2</v>
      </c>
      <c r="AU47" s="84">
        <f t="shared" si="0"/>
        <v>5.7142857142857141E-2</v>
      </c>
      <c r="AV47" s="281">
        <v>2</v>
      </c>
      <c r="AW47" s="84">
        <f t="shared" si="1"/>
        <v>5.7142857142857141E-2</v>
      </c>
      <c r="AX47" s="159" t="str">
        <f t="shared" si="2"/>
        <v>OK</v>
      </c>
      <c r="AY47" t="s">
        <v>386</v>
      </c>
      <c r="AZ47">
        <v>35</v>
      </c>
      <c r="BA47">
        <v>35</v>
      </c>
      <c r="BB47">
        <v>2</v>
      </c>
      <c r="BC47" s="222">
        <v>5.7142857142857141E-2</v>
      </c>
      <c r="BD47">
        <v>2</v>
      </c>
      <c r="BE47" s="222">
        <v>5.7142857142857141E-2</v>
      </c>
    </row>
    <row r="48" spans="1:57" x14ac:dyDescent="0.25">
      <c r="A48" s="16" t="s">
        <v>36</v>
      </c>
      <c r="B48" s="13">
        <v>108</v>
      </c>
      <c r="C48" s="13">
        <v>100</v>
      </c>
      <c r="D48" s="13">
        <v>1</v>
      </c>
      <c r="E48" s="26">
        <v>0.01</v>
      </c>
      <c r="F48" s="13">
        <v>2</v>
      </c>
      <c r="G48" s="26">
        <v>0.02</v>
      </c>
      <c r="H48" s="13"/>
      <c r="I48" s="13">
        <v>111</v>
      </c>
      <c r="J48" s="13">
        <v>100</v>
      </c>
      <c r="K48" s="13">
        <v>2</v>
      </c>
      <c r="L48" s="26">
        <v>0.02</v>
      </c>
      <c r="M48" s="13">
        <v>1</v>
      </c>
      <c r="N48" s="26">
        <v>0.01</v>
      </c>
      <c r="O48" s="13"/>
      <c r="P48" s="13">
        <v>109</v>
      </c>
      <c r="Q48" s="13">
        <v>104</v>
      </c>
      <c r="R48" s="13">
        <v>2</v>
      </c>
      <c r="S48" s="26">
        <v>1.9230769230769232E-2</v>
      </c>
      <c r="T48" s="13">
        <v>0</v>
      </c>
      <c r="U48" s="26">
        <v>0</v>
      </c>
      <c r="V48" s="13"/>
      <c r="W48" s="13">
        <v>106</v>
      </c>
      <c r="X48" s="13">
        <v>90</v>
      </c>
      <c r="Y48" s="13">
        <v>2</v>
      </c>
      <c r="Z48" s="26">
        <v>2.2222222222222223E-2</v>
      </c>
      <c r="AA48" s="13">
        <v>0</v>
      </c>
      <c r="AB48" s="26">
        <v>0</v>
      </c>
      <c r="AC48" s="13"/>
      <c r="AD48" s="13">
        <v>110</v>
      </c>
      <c r="AE48" s="13">
        <v>102</v>
      </c>
      <c r="AF48" s="13">
        <v>1</v>
      </c>
      <c r="AG48" s="26">
        <v>9.8039215686274508E-3</v>
      </c>
      <c r="AH48" s="13">
        <v>1</v>
      </c>
      <c r="AI48" s="26">
        <v>9.8039215686274508E-3</v>
      </c>
      <c r="AJ48" s="13"/>
      <c r="AK48" s="13">
        <v>110</v>
      </c>
      <c r="AL48" s="13">
        <v>104</v>
      </c>
      <c r="AM48" s="13">
        <v>2</v>
      </c>
      <c r="AN48" s="26">
        <v>1.9230769230769232E-2</v>
      </c>
      <c r="AO48" s="13">
        <v>1</v>
      </c>
      <c r="AP48" s="26">
        <v>9.6153846153846159E-3</v>
      </c>
      <c r="AQ48" s="13"/>
      <c r="AR48" s="281">
        <v>111</v>
      </c>
      <c r="AS48" s="281">
        <v>105</v>
      </c>
      <c r="AT48" s="281">
        <v>2</v>
      </c>
      <c r="AU48" s="84">
        <f t="shared" si="0"/>
        <v>1.9047619047619049E-2</v>
      </c>
      <c r="AV48" s="281">
        <v>3</v>
      </c>
      <c r="AW48" s="84">
        <f t="shared" si="1"/>
        <v>2.8571428571428571E-2</v>
      </c>
      <c r="AX48" s="159" t="str">
        <f t="shared" si="2"/>
        <v>OK</v>
      </c>
      <c r="AY48" t="s">
        <v>36</v>
      </c>
      <c r="AZ48">
        <v>111</v>
      </c>
      <c r="BA48">
        <v>105</v>
      </c>
      <c r="BB48">
        <v>2</v>
      </c>
      <c r="BC48" s="222">
        <v>1.9047619047619049E-2</v>
      </c>
      <c r="BD48">
        <v>3</v>
      </c>
      <c r="BE48" s="222">
        <v>2.8571428571428571E-2</v>
      </c>
    </row>
    <row r="49" spans="1:57" x14ac:dyDescent="0.25">
      <c r="A49" s="16" t="s">
        <v>38</v>
      </c>
      <c r="B49" s="13">
        <v>12</v>
      </c>
      <c r="C49" s="13">
        <v>11</v>
      </c>
      <c r="D49" s="13">
        <v>2</v>
      </c>
      <c r="E49" s="26">
        <v>0.18181818181818182</v>
      </c>
      <c r="F49" s="13">
        <v>0</v>
      </c>
      <c r="G49" s="26">
        <v>0</v>
      </c>
      <c r="H49" s="13"/>
      <c r="I49" s="13">
        <v>12</v>
      </c>
      <c r="J49" s="13">
        <v>12</v>
      </c>
      <c r="K49" s="13">
        <v>1</v>
      </c>
      <c r="L49" s="26">
        <v>8.3333333333333329E-2</v>
      </c>
      <c r="M49" s="13">
        <v>0</v>
      </c>
      <c r="N49" s="26">
        <v>0</v>
      </c>
      <c r="O49" s="13"/>
      <c r="P49" s="13">
        <v>12</v>
      </c>
      <c r="Q49" s="13">
        <v>11</v>
      </c>
      <c r="R49" s="13">
        <v>1</v>
      </c>
      <c r="S49" s="26">
        <v>9.0909090909090912E-2</v>
      </c>
      <c r="T49" s="13">
        <v>0</v>
      </c>
      <c r="U49" s="26">
        <v>0</v>
      </c>
      <c r="V49" s="13"/>
      <c r="W49" s="13">
        <v>13</v>
      </c>
      <c r="X49" s="13">
        <v>13</v>
      </c>
      <c r="Y49" s="13">
        <v>3</v>
      </c>
      <c r="Z49" s="26">
        <v>0.23076923076923078</v>
      </c>
      <c r="AA49" s="13">
        <v>0</v>
      </c>
      <c r="AB49" s="26">
        <v>0</v>
      </c>
      <c r="AC49" s="13"/>
      <c r="AD49" s="13">
        <v>10</v>
      </c>
      <c r="AE49" s="13">
        <v>9</v>
      </c>
      <c r="AF49" s="13">
        <v>1</v>
      </c>
      <c r="AG49" s="26">
        <v>0.1111111111111111</v>
      </c>
      <c r="AH49" s="13">
        <v>0</v>
      </c>
      <c r="AI49" s="26">
        <v>0</v>
      </c>
      <c r="AJ49" s="13"/>
      <c r="AK49" s="13">
        <v>12</v>
      </c>
      <c r="AL49" s="13">
        <v>11</v>
      </c>
      <c r="AM49" s="13">
        <v>1</v>
      </c>
      <c r="AN49" s="26">
        <v>9.0909090909090912E-2</v>
      </c>
      <c r="AO49" s="13"/>
      <c r="AP49" s="26">
        <v>0</v>
      </c>
      <c r="AQ49" s="13"/>
      <c r="AR49" s="281">
        <v>11</v>
      </c>
      <c r="AS49" s="281">
        <v>11</v>
      </c>
      <c r="AT49" s="281">
        <v>1</v>
      </c>
      <c r="AU49" s="84">
        <f t="shared" si="0"/>
        <v>9.0909090909090912E-2</v>
      </c>
      <c r="AV49" s="281"/>
      <c r="AW49" s="84">
        <f t="shared" si="1"/>
        <v>0</v>
      </c>
      <c r="AX49" s="159" t="str">
        <f t="shared" si="2"/>
        <v>OK</v>
      </c>
      <c r="AY49" t="s">
        <v>38</v>
      </c>
      <c r="AZ49">
        <v>11</v>
      </c>
      <c r="BA49">
        <v>11</v>
      </c>
      <c r="BB49">
        <v>1</v>
      </c>
      <c r="BC49" s="222">
        <v>9.0909090909090912E-2</v>
      </c>
      <c r="BE49" s="222">
        <v>0</v>
      </c>
    </row>
    <row r="50" spans="1:57" x14ac:dyDescent="0.25">
      <c r="A50" s="16" t="s">
        <v>39</v>
      </c>
      <c r="B50" s="13">
        <v>26</v>
      </c>
      <c r="C50" s="13">
        <v>24</v>
      </c>
      <c r="D50" s="13">
        <v>0</v>
      </c>
      <c r="E50" s="26">
        <v>0</v>
      </c>
      <c r="F50" s="13">
        <v>1</v>
      </c>
      <c r="G50" s="26">
        <v>4.1666666666666664E-2</v>
      </c>
      <c r="H50" s="13"/>
      <c r="I50" s="13">
        <v>24</v>
      </c>
      <c r="J50" s="13">
        <v>21</v>
      </c>
      <c r="K50" s="13">
        <v>1</v>
      </c>
      <c r="L50" s="26">
        <v>4.7619047619047616E-2</v>
      </c>
      <c r="M50" s="13">
        <v>0</v>
      </c>
      <c r="N50" s="26">
        <v>0</v>
      </c>
      <c r="O50" s="13"/>
      <c r="P50" s="13">
        <v>24</v>
      </c>
      <c r="Q50" s="13">
        <v>21</v>
      </c>
      <c r="R50" s="13">
        <v>0</v>
      </c>
      <c r="S50" s="26">
        <v>0</v>
      </c>
      <c r="T50" s="13">
        <v>0</v>
      </c>
      <c r="U50" s="26">
        <v>0</v>
      </c>
      <c r="V50" s="13"/>
      <c r="W50" s="13">
        <v>25</v>
      </c>
      <c r="X50" s="13">
        <v>22</v>
      </c>
      <c r="Y50" s="13">
        <v>0</v>
      </c>
      <c r="Z50" s="26">
        <v>0</v>
      </c>
      <c r="AA50" s="13">
        <v>0</v>
      </c>
      <c r="AB50" s="26">
        <v>0</v>
      </c>
      <c r="AC50" s="13"/>
      <c r="AD50" s="13">
        <v>23</v>
      </c>
      <c r="AE50" s="13">
        <v>23</v>
      </c>
      <c r="AF50" s="13">
        <v>0</v>
      </c>
      <c r="AG50" s="26">
        <v>0</v>
      </c>
      <c r="AH50" s="13">
        <v>1</v>
      </c>
      <c r="AI50" s="26">
        <v>4.3478260869565216E-2</v>
      </c>
      <c r="AJ50" s="13"/>
      <c r="AK50" s="13">
        <v>24</v>
      </c>
      <c r="AL50" s="13">
        <v>23</v>
      </c>
      <c r="AM50" s="13">
        <v>1</v>
      </c>
      <c r="AN50" s="26">
        <v>4.3478260869565216E-2</v>
      </c>
      <c r="AO50" s="13"/>
      <c r="AP50" s="26">
        <v>0</v>
      </c>
      <c r="AQ50" s="13"/>
      <c r="AR50" s="281">
        <v>24</v>
      </c>
      <c r="AS50" s="281">
        <v>24</v>
      </c>
      <c r="AT50" s="281"/>
      <c r="AU50" s="84">
        <f t="shared" si="0"/>
        <v>0</v>
      </c>
      <c r="AV50" s="281"/>
      <c r="AW50" s="84">
        <f t="shared" si="1"/>
        <v>0</v>
      </c>
      <c r="AX50" s="159" t="str">
        <f t="shared" si="2"/>
        <v>OK</v>
      </c>
      <c r="AY50" t="s">
        <v>39</v>
      </c>
      <c r="AZ50">
        <v>24</v>
      </c>
      <c r="BA50">
        <v>24</v>
      </c>
      <c r="BC50" s="222">
        <v>0</v>
      </c>
      <c r="BE50" s="222">
        <v>0</v>
      </c>
    </row>
    <row r="51" spans="1:57" x14ac:dyDescent="0.25">
      <c r="A51" s="16" t="s">
        <v>40</v>
      </c>
      <c r="B51" s="13">
        <v>206</v>
      </c>
      <c r="C51" s="13">
        <v>187</v>
      </c>
      <c r="D51" s="13">
        <v>11</v>
      </c>
      <c r="E51" s="26">
        <v>5.8823529411764705E-2</v>
      </c>
      <c r="F51" s="13">
        <v>4</v>
      </c>
      <c r="G51" s="26">
        <v>2.1390374331550801E-2</v>
      </c>
      <c r="H51" s="13"/>
      <c r="I51" s="13">
        <v>225</v>
      </c>
      <c r="J51" s="13">
        <v>197</v>
      </c>
      <c r="K51" s="13">
        <v>10</v>
      </c>
      <c r="L51" s="26">
        <v>5.0761421319796954E-2</v>
      </c>
      <c r="M51" s="13">
        <v>5</v>
      </c>
      <c r="N51" s="26">
        <v>2.5380710659898477E-2</v>
      </c>
      <c r="O51" s="13"/>
      <c r="P51" s="13">
        <v>227</v>
      </c>
      <c r="Q51" s="13">
        <v>206</v>
      </c>
      <c r="R51" s="13">
        <v>5</v>
      </c>
      <c r="S51" s="26">
        <v>2.4271844660194174E-2</v>
      </c>
      <c r="T51" s="13">
        <v>6</v>
      </c>
      <c r="U51" s="26">
        <v>2.9126213592233011E-2</v>
      </c>
      <c r="V51" s="13"/>
      <c r="W51" s="13">
        <v>231</v>
      </c>
      <c r="X51" s="13">
        <v>212</v>
      </c>
      <c r="Y51" s="13">
        <v>8</v>
      </c>
      <c r="Z51" s="26">
        <v>3.7735849056603772E-2</v>
      </c>
      <c r="AA51" s="13">
        <v>1</v>
      </c>
      <c r="AB51" s="26">
        <v>4.7169811320754715E-3</v>
      </c>
      <c r="AC51" s="13"/>
      <c r="AD51" s="13">
        <v>234</v>
      </c>
      <c r="AE51" s="13">
        <v>213</v>
      </c>
      <c r="AF51" s="13">
        <v>11</v>
      </c>
      <c r="AG51" s="26">
        <v>5.1643192488262914E-2</v>
      </c>
      <c r="AH51" s="13">
        <v>1</v>
      </c>
      <c r="AI51" s="26">
        <v>4.6948356807511738E-3</v>
      </c>
      <c r="AJ51" s="13"/>
      <c r="AK51" s="13">
        <v>232</v>
      </c>
      <c r="AL51" s="13">
        <v>215</v>
      </c>
      <c r="AM51" s="13">
        <v>3</v>
      </c>
      <c r="AN51" s="26">
        <v>1.3953488372093023E-2</v>
      </c>
      <c r="AO51" s="13">
        <v>2</v>
      </c>
      <c r="AP51" s="26">
        <v>9.3023255813953487E-3</v>
      </c>
      <c r="AQ51" s="13"/>
      <c r="AR51" s="281">
        <v>241</v>
      </c>
      <c r="AS51" s="281">
        <v>231</v>
      </c>
      <c r="AT51" s="281">
        <v>3</v>
      </c>
      <c r="AU51" s="84">
        <f t="shared" si="0"/>
        <v>1.2987012987012988E-2</v>
      </c>
      <c r="AV51" s="281">
        <v>9</v>
      </c>
      <c r="AW51" s="84">
        <f t="shared" si="1"/>
        <v>3.896103896103896E-2</v>
      </c>
      <c r="AX51" s="159" t="str">
        <f t="shared" si="2"/>
        <v>OK</v>
      </c>
      <c r="AY51" t="s">
        <v>40</v>
      </c>
      <c r="AZ51">
        <v>241</v>
      </c>
      <c r="BA51">
        <v>231</v>
      </c>
      <c r="BB51">
        <v>3</v>
      </c>
      <c r="BC51" s="222">
        <v>1.2987012987012988E-2</v>
      </c>
      <c r="BD51">
        <v>9</v>
      </c>
      <c r="BE51" s="222">
        <v>3.896103896103896E-2</v>
      </c>
    </row>
    <row r="52" spans="1:57" x14ac:dyDescent="0.25">
      <c r="A52" s="16"/>
      <c r="B52" s="16"/>
      <c r="C52" s="16"/>
      <c r="D52" s="16"/>
      <c r="E52" s="34"/>
      <c r="F52" s="16"/>
      <c r="G52" s="34"/>
      <c r="H52" s="16"/>
      <c r="I52" s="16"/>
      <c r="J52" s="16"/>
      <c r="K52" s="16"/>
      <c r="L52" s="34"/>
      <c r="M52" s="16"/>
      <c r="N52" s="34"/>
      <c r="O52" s="16"/>
      <c r="P52" s="16"/>
      <c r="Q52" s="16"/>
      <c r="R52" s="16"/>
      <c r="S52" s="34"/>
      <c r="T52" s="16"/>
      <c r="U52" s="34"/>
      <c r="V52" s="16"/>
      <c r="W52" s="71"/>
      <c r="X52" s="16"/>
      <c r="Y52" s="16"/>
      <c r="Z52" s="34"/>
      <c r="AA52" s="16"/>
      <c r="AB52" s="34"/>
      <c r="AC52" s="16"/>
      <c r="AD52" s="71"/>
      <c r="AE52" s="16"/>
      <c r="AF52" s="16"/>
      <c r="AG52" s="34"/>
      <c r="AH52" s="16"/>
      <c r="AI52" s="34"/>
      <c r="AJ52" s="16"/>
      <c r="AK52" s="71"/>
      <c r="AL52" s="16"/>
      <c r="AM52" s="16"/>
      <c r="AN52" s="34"/>
      <c r="AO52" s="16"/>
      <c r="AP52" s="34"/>
      <c r="AQ52" s="16"/>
      <c r="AR52" s="16"/>
      <c r="AS52" s="16"/>
      <c r="AT52" s="16"/>
      <c r="AU52" s="86"/>
      <c r="AV52" s="16"/>
      <c r="AW52" s="86"/>
    </row>
    <row r="53" spans="1:57" ht="15.75" thickBot="1" x14ac:dyDescent="0.3">
      <c r="A53" s="25" t="s">
        <v>123</v>
      </c>
      <c r="B53" s="28">
        <v>5943</v>
      </c>
      <c r="C53" s="28">
        <v>5543</v>
      </c>
      <c r="D53" s="28">
        <v>598</v>
      </c>
      <c r="E53" s="27">
        <v>0.1078838174273859</v>
      </c>
      <c r="F53" s="28">
        <v>163</v>
      </c>
      <c r="G53" s="27">
        <v>2.9406458596427928E-2</v>
      </c>
      <c r="H53" s="302"/>
      <c r="I53" s="28">
        <v>5968</v>
      </c>
      <c r="J53" s="28">
        <v>5508</v>
      </c>
      <c r="K53" s="28">
        <v>564</v>
      </c>
      <c r="L53" s="27">
        <v>0.10239651416122005</v>
      </c>
      <c r="M53" s="28">
        <v>140</v>
      </c>
      <c r="N53" s="27">
        <v>2.5417574437182282E-2</v>
      </c>
      <c r="O53" s="302"/>
      <c r="P53" s="28">
        <v>5951</v>
      </c>
      <c r="Q53" s="28">
        <v>5510</v>
      </c>
      <c r="R53" s="28">
        <v>472</v>
      </c>
      <c r="S53" s="27">
        <v>8.5662431941923772E-2</v>
      </c>
      <c r="T53" s="28">
        <v>162</v>
      </c>
      <c r="U53" s="27">
        <v>2.9401088929219599E-2</v>
      </c>
      <c r="V53" s="302"/>
      <c r="W53" s="76">
        <v>6016</v>
      </c>
      <c r="X53" s="28">
        <v>5528</v>
      </c>
      <c r="Y53" s="28">
        <v>455</v>
      </c>
      <c r="Z53" s="27">
        <v>8.2308248914616494E-2</v>
      </c>
      <c r="AA53" s="28">
        <v>116</v>
      </c>
      <c r="AB53" s="27">
        <v>2.0984081041968163E-2</v>
      </c>
      <c r="AC53" s="302"/>
      <c r="AD53" s="76">
        <v>5978</v>
      </c>
      <c r="AE53" s="28">
        <v>5574</v>
      </c>
      <c r="AF53" s="28">
        <v>389</v>
      </c>
      <c r="AG53" s="27">
        <v>6.9788302834589158E-2</v>
      </c>
      <c r="AH53" s="28">
        <v>95</v>
      </c>
      <c r="AI53" s="27">
        <v>1.7043415859346968E-2</v>
      </c>
      <c r="AJ53" s="302"/>
      <c r="AK53" s="76">
        <v>6086</v>
      </c>
      <c r="AL53" s="28">
        <v>5641</v>
      </c>
      <c r="AM53" s="28">
        <v>325</v>
      </c>
      <c r="AN53" s="27">
        <v>5.7613898244992023E-2</v>
      </c>
      <c r="AO53" s="28">
        <v>134</v>
      </c>
      <c r="AP53" s="27">
        <v>2.3754653430242866E-2</v>
      </c>
      <c r="AQ53" s="302"/>
      <c r="AR53" s="317">
        <f>SUM(AR6:AR51)</f>
        <v>5990</v>
      </c>
      <c r="AS53" s="317">
        <f>SUM(AS6:AS51)</f>
        <v>5732</v>
      </c>
      <c r="AT53" s="317">
        <f>SUM(AT6:AT51)</f>
        <v>232</v>
      </c>
      <c r="AU53" s="85">
        <f>AT53/AS53</f>
        <v>4.0474528960223306E-2</v>
      </c>
      <c r="AV53" s="317">
        <f>SUM(AV6:AV51)</f>
        <v>132</v>
      </c>
      <c r="AW53" s="85">
        <f>AV53/AS53</f>
        <v>2.3028611304954642E-2</v>
      </c>
      <c r="AY53" t="s">
        <v>48</v>
      </c>
      <c r="AZ53">
        <f>SUM(AZ6:AZ52)</f>
        <v>5990</v>
      </c>
      <c r="BA53">
        <f t="shared" ref="BA53:BD53" si="3">SUM(BA6:BA52)</f>
        <v>5732</v>
      </c>
      <c r="BB53">
        <f t="shared" si="3"/>
        <v>232</v>
      </c>
      <c r="BC53" s="222">
        <v>0.04</v>
      </c>
      <c r="BD53">
        <f t="shared" si="3"/>
        <v>132</v>
      </c>
      <c r="BE53" s="222">
        <v>2.3E-2</v>
      </c>
    </row>
    <row r="54" spans="1:57" ht="15.75" thickTop="1" x14ac:dyDescent="0.25"/>
  </sheetData>
  <sortState ref="A6:AN51">
    <sortCondition ref="A6"/>
  </sortState>
  <mergeCells count="14">
    <mergeCell ref="AT3:AU3"/>
    <mergeCell ref="AV3:AW3"/>
    <mergeCell ref="Y3:Z3"/>
    <mergeCell ref="AA3:AB3"/>
    <mergeCell ref="AF3:AG3"/>
    <mergeCell ref="AH3:AI3"/>
    <mergeCell ref="AM3:AN3"/>
    <mergeCell ref="AO3:AP3"/>
    <mergeCell ref="T3:U3"/>
    <mergeCell ref="D3:E3"/>
    <mergeCell ref="K3:L3"/>
    <mergeCell ref="F3:G3"/>
    <mergeCell ref="M3:N3"/>
    <mergeCell ref="R3:S3"/>
  </mergeCells>
  <pageMargins left="0.7" right="0.7" top="0.75" bottom="0.75" header="0.3" footer="0.3"/>
  <pageSetup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Home Page</vt:lpstr>
      <vt:lpstr>Yr Over Yr Metrics and Trends</vt:lpstr>
      <vt:lpstr>5 Year ScoreCard</vt:lpstr>
      <vt:lpstr>Assumptions</vt:lpstr>
      <vt:lpstr>Key Metric Settings</vt:lpstr>
      <vt:lpstr>Financial Data Input</vt:lpstr>
      <vt:lpstr>Calculations</vt:lpstr>
      <vt:lpstr>Tables for Filters</vt:lpstr>
      <vt:lpstr>PCards</vt:lpstr>
      <vt:lpstr>Retro Pay</vt:lpstr>
      <vt:lpstr>SP Retro Pay</vt:lpstr>
      <vt:lpstr>Effort Cert</vt:lpstr>
      <vt:lpstr>Concur Approvers</vt:lpstr>
      <vt:lpstr>T&amp;E Spend</vt:lpstr>
      <vt:lpstr>Cash Handling</vt:lpstr>
      <vt:lpstr>Credit Card</vt:lpstr>
      <vt:lpstr>Gift Funds</vt:lpstr>
      <vt:lpstr>Financial Aid</vt:lpstr>
      <vt:lpstr>Capital Equipment</vt:lpstr>
      <vt:lpstr>Certification Responses</vt:lpstr>
      <vt:lpstr>'5 Year ScoreCard'!Print_Area</vt:lpstr>
      <vt:lpstr>Assumptions!Print_Area</vt:lpstr>
      <vt:lpstr>'Yr Over Yr Metrics and Trends'!Print_Area</vt:lpstr>
      <vt:lpstr>'5 Year ScoreCard'!Print_Titles</vt:lpstr>
      <vt:lpstr>Assumptions!Print_Titles</vt:lpstr>
      <vt:lpstr>'Yr Over Yr Metrics and Trends'!Print_Titles</vt:lpstr>
      <vt:lpstr>SelectedYear</vt:lpstr>
      <vt:lpstr>'Yr Over Yr Metrics and Trends'!Years</vt:lpstr>
      <vt:lpstr>Years</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Bressler, Kay</dc:creator>
  <cp:lastModifiedBy>Bressler, Kay</cp:lastModifiedBy>
  <cp:lastPrinted>2020-03-05T17:24:31Z</cp:lastPrinted>
  <dcterms:created xsi:type="dcterms:W3CDTF">2017-03-21T17:31:25Z</dcterms:created>
  <dcterms:modified xsi:type="dcterms:W3CDTF">2020-08-03T15:43:47Z</dcterms:modified>
</cp:coreProperties>
</file>