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Kay\14-Dash Board - Scorecard\2-Scorecard\FY 2019\"/>
    </mc:Choice>
  </mc:AlternateContent>
  <bookViews>
    <workbookView xWindow="120" yWindow="195" windowWidth="15570" windowHeight="11190" tabRatio="933"/>
  </bookViews>
  <sheets>
    <sheet name="Home Page" sheetId="72" r:id="rId1"/>
    <sheet name="Yr Over Yr Metrics and Trends" sheetId="85" r:id="rId2"/>
    <sheet name="5 Year ScoreCard" sheetId="59" r:id="rId3"/>
    <sheet name="Assumptions" sheetId="20" r:id="rId4"/>
    <sheet name="Key Metric Settings" sheetId="83" state="hidden" r:id="rId5"/>
    <sheet name="Financial Data Input" sheetId="82" state="hidden" r:id="rId6"/>
    <sheet name="Calculations" sheetId="84" state="hidden" r:id="rId7"/>
    <sheet name="Tables for Filters" sheetId="73" state="hidden" r:id="rId8"/>
    <sheet name="PCards" sheetId="64" state="hidden" r:id="rId9"/>
    <sheet name="Retro Pay" sheetId="65" state="hidden" r:id="rId10"/>
    <sheet name="SP Retro Pay" sheetId="66" state="hidden" r:id="rId11"/>
    <sheet name="Effort Cert" sheetId="71" state="hidden" r:id="rId12"/>
    <sheet name="Concur" sheetId="63" state="hidden" r:id="rId13"/>
    <sheet name="Cash Handling" sheetId="67" state="hidden" r:id="rId14"/>
    <sheet name="Credit Card" sheetId="68" state="hidden" r:id="rId15"/>
    <sheet name="Gift Funds" sheetId="69" state="hidden" r:id="rId16"/>
    <sheet name="Financial Aid" sheetId="70" state="hidden" r:id="rId17"/>
    <sheet name="Capital Equipment" sheetId="76" state="hidden" r:id="rId18"/>
    <sheet name="Certification Responses" sheetId="75" state="hidden" r:id="rId19"/>
  </sheets>
  <definedNames>
    <definedName name="lstMetrics" localSheetId="6">OFFSET('Financial Data Input'!$B$7:$B$66,0,0,COUNTA('Financial Data Input'!$B$7:$B$66))</definedName>
    <definedName name="lstMetrics" localSheetId="4">OFFSET('Financial Data Input'!$B$7:$B$66,0,0,COUNTA('Financial Data Input'!$B$7:$B$66))</definedName>
    <definedName name="lstMetrics" localSheetId="1">OFFSET('Financial Data Input'!$B$7:$B$66,0,0,COUNTA('Financial Data Input'!$B$7:$B$66))</definedName>
    <definedName name="lstMetrics">OFFSET('Financial Data Input'!$B$7:$B$66,0,0,COUNTA('Financial Data Input'!$B$7:$B$66))</definedName>
    <definedName name="lstYears" localSheetId="6">OFFSET('Financial Data Input'!$B$6:$I$6,0,1,1,COUNTA('Financial Data Input'!$B$6:$I$6)-1)</definedName>
    <definedName name="lstYears" localSheetId="4">OFFSET('Financial Data Input'!$B$6:$I$6,0,1,1,COUNTA('Financial Data Input'!$B$6:$I$6)-1)</definedName>
    <definedName name="lstYears" localSheetId="1">OFFSET('Financial Data Input'!$B$6:$I$6,0,1,1,COUNTA('Financial Data Input'!$B$6:$I$6)-1)</definedName>
    <definedName name="lstYears">OFFSET('Financial Data Input'!$B$6:$I$6,0,1,1,COUNTA('Financial Data Input'!$B$6:$I$6)-1)</definedName>
    <definedName name="_xlnm.Print_Area" localSheetId="2">'5 Year ScoreCard'!$A$2:$M$105</definedName>
    <definedName name="_xlnm.Print_Area" localSheetId="3">Assumptions!$A$1:$F$91</definedName>
    <definedName name="_xlnm.Print_Area" localSheetId="1">'Yr Over Yr Metrics and Trends'!$B$1:$M$99</definedName>
    <definedName name="_xlnm.Print_Titles" localSheetId="2">'5 Year ScoreCard'!$2:$2</definedName>
    <definedName name="_xlnm.Print_Titles" localSheetId="3">Assumptions!$1:$2</definedName>
    <definedName name="_xlnm.Print_Titles" localSheetId="1">'Yr Over Yr Metrics and Trends'!$15:$15</definedName>
    <definedName name="SelectedYear">'Yr Over Yr Metrics and Trends'!$L$2</definedName>
    <definedName name="Years" localSheetId="1">Calculations!$I$6</definedName>
    <definedName name="Years">Calculations!$I$6</definedName>
  </definedNames>
  <calcPr calcId="162913"/>
</workbook>
</file>

<file path=xl/calcChain.xml><?xml version="1.0" encoding="utf-8"?>
<calcChain xmlns="http://schemas.openxmlformats.org/spreadsheetml/2006/main">
  <c r="BB41" i="68" l="1"/>
  <c r="BB42" i="68"/>
  <c r="BB43" i="68"/>
  <c r="BB44" i="68"/>
  <c r="BB45" i="68"/>
  <c r="BB46" i="68"/>
  <c r="BB47" i="68"/>
  <c r="BB48" i="68"/>
  <c r="BB49" i="68"/>
  <c r="BB50" i="68"/>
  <c r="BB51" i="68"/>
  <c r="BB35" i="68"/>
  <c r="BB36" i="68"/>
  <c r="BB37" i="68"/>
  <c r="BB38" i="68"/>
  <c r="BB39" i="68"/>
  <c r="BB40" i="68"/>
  <c r="BB19" i="68"/>
  <c r="BB20" i="68"/>
  <c r="BB21" i="68"/>
  <c r="BB22" i="68"/>
  <c r="BB23" i="68"/>
  <c r="BB24" i="68"/>
  <c r="BB25" i="68"/>
  <c r="BB26" i="68"/>
  <c r="BB27" i="68"/>
  <c r="BB28" i="68"/>
  <c r="BB29" i="68"/>
  <c r="BB30" i="68"/>
  <c r="BB31" i="68"/>
  <c r="BB32" i="68"/>
  <c r="BB33" i="68"/>
  <c r="BB34" i="68"/>
  <c r="BB18" i="68"/>
  <c r="BB14" i="68"/>
  <c r="BB15" i="68"/>
  <c r="BB16" i="68"/>
  <c r="BB17" i="68"/>
  <c r="BB9" i="68"/>
  <c r="BB10" i="68"/>
  <c r="BB11" i="68"/>
  <c r="BB12" i="68"/>
  <c r="BB13" i="68"/>
  <c r="BB7" i="68"/>
  <c r="BB8" i="68"/>
  <c r="Q7" i="71" l="1"/>
  <c r="Q8" i="71"/>
  <c r="Q9" i="71"/>
  <c r="Q10" i="71"/>
  <c r="Q11" i="71"/>
  <c r="Q12" i="71"/>
  <c r="Q13" i="71"/>
  <c r="Q14" i="71"/>
  <c r="Q15" i="71"/>
  <c r="Q16" i="71"/>
  <c r="Q17" i="71"/>
  <c r="Q18" i="71"/>
  <c r="Q19" i="71"/>
  <c r="Q20" i="71"/>
  <c r="Q21" i="71"/>
  <c r="Q22" i="71"/>
  <c r="Q23" i="71"/>
  <c r="Q24" i="71"/>
  <c r="Q25" i="71"/>
  <c r="Q26" i="71"/>
  <c r="Q27" i="71"/>
  <c r="Q28" i="71"/>
  <c r="Q29" i="71"/>
  <c r="Q30" i="71"/>
  <c r="Q31" i="71"/>
  <c r="Q32" i="71"/>
  <c r="Q33" i="71"/>
  <c r="Q34" i="71"/>
  <c r="Q35" i="71"/>
  <c r="Q36" i="71"/>
  <c r="Q37" i="71"/>
  <c r="Q38" i="71"/>
  <c r="Q39" i="71"/>
  <c r="Q40" i="71"/>
  <c r="Q41" i="71"/>
  <c r="Q42" i="71"/>
  <c r="Q43" i="71"/>
  <c r="Q44" i="71"/>
  <c r="Q45" i="71"/>
  <c r="Q46" i="71"/>
  <c r="Q47" i="71"/>
  <c r="Q48" i="71"/>
  <c r="Q49" i="71"/>
  <c r="Q50" i="71"/>
  <c r="Q51" i="71"/>
  <c r="Q6" i="71"/>
  <c r="O7" i="63" l="1"/>
  <c r="O8" i="63"/>
  <c r="O9" i="63"/>
  <c r="O10" i="63"/>
  <c r="O11" i="63"/>
  <c r="O12" i="63"/>
  <c r="O13" i="63"/>
  <c r="O14" i="63"/>
  <c r="O15" i="63"/>
  <c r="O16" i="63"/>
  <c r="O17" i="63"/>
  <c r="O18" i="63"/>
  <c r="O19" i="63"/>
  <c r="O20" i="63"/>
  <c r="O21" i="63"/>
  <c r="O22" i="63"/>
  <c r="O23" i="63"/>
  <c r="O24" i="63"/>
  <c r="O25" i="63"/>
  <c r="O26" i="63"/>
  <c r="O27" i="63"/>
  <c r="O28" i="63"/>
  <c r="O29" i="63"/>
  <c r="O30" i="63"/>
  <c r="O31" i="63"/>
  <c r="O32" i="63"/>
  <c r="O33" i="63"/>
  <c r="O34" i="63"/>
  <c r="O35" i="63"/>
  <c r="O36" i="63"/>
  <c r="O37" i="63"/>
  <c r="O38" i="63"/>
  <c r="O39" i="63"/>
  <c r="O40" i="63"/>
  <c r="O41" i="63"/>
  <c r="O42" i="63"/>
  <c r="O43" i="63"/>
  <c r="O44" i="63"/>
  <c r="O45" i="63"/>
  <c r="O46" i="63"/>
  <c r="O47" i="63"/>
  <c r="O48" i="63"/>
  <c r="O49" i="63"/>
  <c r="O50" i="63"/>
  <c r="O51" i="63"/>
  <c r="S11" i="68" l="1"/>
  <c r="Z8" i="76"/>
  <c r="Z9" i="76"/>
  <c r="Z10" i="76"/>
  <c r="Z11" i="76"/>
  <c r="Z12" i="76"/>
  <c r="Z14" i="76"/>
  <c r="Z16" i="76"/>
  <c r="Z18" i="76"/>
  <c r="Z22" i="76"/>
  <c r="Z23" i="76"/>
  <c r="Z27" i="76"/>
  <c r="Z28" i="76"/>
  <c r="Z29" i="76"/>
  <c r="Z30" i="76"/>
  <c r="Z31" i="76"/>
  <c r="Z32" i="76"/>
  <c r="Z34" i="76"/>
  <c r="Z35" i="76"/>
  <c r="Z41" i="76"/>
  <c r="Z42" i="76"/>
  <c r="Z43" i="76"/>
  <c r="Z47" i="76"/>
  <c r="Z51" i="76"/>
  <c r="X7" i="76"/>
  <c r="X8" i="76"/>
  <c r="X9" i="76"/>
  <c r="X10" i="76"/>
  <c r="X11" i="76"/>
  <c r="X12" i="76"/>
  <c r="X13" i="76"/>
  <c r="X14" i="76"/>
  <c r="X15" i="76"/>
  <c r="X16" i="76"/>
  <c r="X18" i="76"/>
  <c r="X19" i="76"/>
  <c r="X21" i="76"/>
  <c r="X22" i="76"/>
  <c r="X23" i="76"/>
  <c r="X25" i="76"/>
  <c r="X26" i="76"/>
  <c r="X27" i="76"/>
  <c r="X28" i="76"/>
  <c r="X29" i="76"/>
  <c r="X30" i="76"/>
  <c r="X31" i="76"/>
  <c r="X32" i="76"/>
  <c r="X33" i="76"/>
  <c r="X34" i="76"/>
  <c r="X35" i="76"/>
  <c r="X36" i="76"/>
  <c r="X37" i="76"/>
  <c r="X38" i="76"/>
  <c r="X40" i="76"/>
  <c r="X41" i="76"/>
  <c r="X42" i="76"/>
  <c r="X43" i="76"/>
  <c r="X45" i="76"/>
  <c r="X46" i="76"/>
  <c r="X47" i="76"/>
  <c r="X49" i="76"/>
  <c r="X50" i="76"/>
  <c r="X51" i="76"/>
  <c r="AC15" i="76"/>
  <c r="AC16" i="76"/>
  <c r="AC17" i="76"/>
  <c r="AC18" i="76"/>
  <c r="AC19" i="76"/>
  <c r="AC20" i="76"/>
  <c r="AC21" i="76"/>
  <c r="AC22" i="76"/>
  <c r="AC23" i="76"/>
  <c r="AC24" i="76"/>
  <c r="AC25" i="76"/>
  <c r="AC26" i="76"/>
  <c r="AC27" i="76"/>
  <c r="AC28" i="76"/>
  <c r="AC29" i="76"/>
  <c r="AC30" i="76"/>
  <c r="AC31" i="76"/>
  <c r="AC32" i="76"/>
  <c r="AC33" i="76"/>
  <c r="AC34" i="76"/>
  <c r="AC35" i="76"/>
  <c r="AC36" i="76"/>
  <c r="AC37" i="76"/>
  <c r="AC38" i="76"/>
  <c r="AC39" i="76"/>
  <c r="AC40" i="76"/>
  <c r="AC41" i="76"/>
  <c r="AC42" i="76"/>
  <c r="AC43" i="76"/>
  <c r="AC44" i="76"/>
  <c r="AC45" i="76"/>
  <c r="AC46" i="76"/>
  <c r="AC47" i="76"/>
  <c r="AC48" i="76"/>
  <c r="AC49" i="76"/>
  <c r="AC50" i="76"/>
  <c r="AC51" i="76"/>
  <c r="AC7" i="76"/>
  <c r="AC8" i="76"/>
  <c r="AC9" i="76"/>
  <c r="AC10" i="76"/>
  <c r="AC11" i="76"/>
  <c r="AC12" i="76"/>
  <c r="AC13" i="76"/>
  <c r="AC14" i="76"/>
  <c r="AN35" i="70" l="1"/>
  <c r="AN36" i="70"/>
  <c r="AN37" i="70"/>
  <c r="AN38" i="70"/>
  <c r="AN39" i="70"/>
  <c r="AN40" i="70"/>
  <c r="AN41" i="70"/>
  <c r="AN42" i="70"/>
  <c r="AN43" i="70"/>
  <c r="AN44" i="70"/>
  <c r="AN45" i="70"/>
  <c r="AN46" i="70"/>
  <c r="AN47" i="70"/>
  <c r="AN48" i="70"/>
  <c r="AN49" i="70"/>
  <c r="AN50" i="70"/>
  <c r="AN51" i="70"/>
  <c r="AN16" i="70"/>
  <c r="AN17" i="70"/>
  <c r="AN18" i="70"/>
  <c r="AN19" i="70"/>
  <c r="AN20" i="70"/>
  <c r="AN21" i="70"/>
  <c r="AN22" i="70"/>
  <c r="AN23" i="70"/>
  <c r="AN24" i="70"/>
  <c r="AN25" i="70"/>
  <c r="AN26" i="70"/>
  <c r="AN27" i="70"/>
  <c r="AN28" i="70"/>
  <c r="AN29" i="70"/>
  <c r="AN30" i="70"/>
  <c r="AN31" i="70"/>
  <c r="AN32" i="70"/>
  <c r="AN33" i="70"/>
  <c r="AN34" i="70"/>
  <c r="AN11" i="70"/>
  <c r="AN12" i="70"/>
  <c r="AN13" i="70"/>
  <c r="AN14" i="70"/>
  <c r="AN15" i="70"/>
  <c r="AN7" i="70"/>
  <c r="AN8" i="70"/>
  <c r="AN9" i="70"/>
  <c r="AN10" i="70"/>
  <c r="AD16" i="69" l="1"/>
  <c r="AD17" i="69"/>
  <c r="AD18" i="69"/>
  <c r="AD19" i="69"/>
  <c r="AD20" i="69"/>
  <c r="AD21" i="69"/>
  <c r="AD22" i="69"/>
  <c r="AD23" i="69"/>
  <c r="AD24" i="69"/>
  <c r="AD25" i="69"/>
  <c r="AD26" i="69"/>
  <c r="AD27" i="69"/>
  <c r="AD28" i="69"/>
  <c r="AD29" i="69"/>
  <c r="AD30" i="69"/>
  <c r="AD31" i="69"/>
  <c r="AD32" i="69"/>
  <c r="AD33" i="69"/>
  <c r="AD34" i="69"/>
  <c r="AD35" i="69"/>
  <c r="AD36" i="69"/>
  <c r="AD37" i="69"/>
  <c r="AD38" i="69"/>
  <c r="AD39" i="69"/>
  <c r="AD40" i="69"/>
  <c r="AD41" i="69"/>
  <c r="AD42" i="69"/>
  <c r="AD43" i="69"/>
  <c r="AD44" i="69"/>
  <c r="AD45" i="69"/>
  <c r="AD46" i="69"/>
  <c r="AD47" i="69"/>
  <c r="AD48" i="69"/>
  <c r="AD49" i="69"/>
  <c r="AD50" i="69"/>
  <c r="AD51" i="69"/>
  <c r="AD7" i="69"/>
  <c r="AD8" i="69"/>
  <c r="AD9" i="69"/>
  <c r="AD10" i="69"/>
  <c r="AD11" i="69"/>
  <c r="AD12" i="69"/>
  <c r="AD13" i="69"/>
  <c r="AD14" i="69"/>
  <c r="AD15" i="69"/>
  <c r="AC7" i="66" l="1"/>
  <c r="AC8" i="66"/>
  <c r="AC9" i="66"/>
  <c r="AC10" i="66"/>
  <c r="AC11" i="66"/>
  <c r="AC12" i="66"/>
  <c r="AC13" i="66"/>
  <c r="AC14" i="66"/>
  <c r="AC15" i="66"/>
  <c r="AC16" i="66"/>
  <c r="AC17" i="66"/>
  <c r="AC18" i="66"/>
  <c r="AC19" i="66"/>
  <c r="AC20" i="66"/>
  <c r="AC21" i="66"/>
  <c r="AC22" i="66"/>
  <c r="AC23" i="66"/>
  <c r="AC24" i="66"/>
  <c r="AC25" i="66"/>
  <c r="AC26" i="66"/>
  <c r="AC27" i="66"/>
  <c r="AC28" i="66"/>
  <c r="AC29" i="66"/>
  <c r="AC30" i="66"/>
  <c r="AC31" i="66"/>
  <c r="AC32" i="66"/>
  <c r="AC33" i="66"/>
  <c r="AC34" i="66"/>
  <c r="AC35" i="66"/>
  <c r="AC36" i="66"/>
  <c r="AC37" i="66"/>
  <c r="AC38" i="66"/>
  <c r="AC39" i="66"/>
  <c r="AC40" i="66"/>
  <c r="AC41" i="66"/>
  <c r="AC42" i="66"/>
  <c r="AC43" i="66"/>
  <c r="AC44" i="66"/>
  <c r="AC45" i="66"/>
  <c r="AC46" i="66"/>
  <c r="AC47" i="66"/>
  <c r="AC48" i="66"/>
  <c r="AC49" i="66"/>
  <c r="AC50" i="66"/>
  <c r="AC51" i="66"/>
  <c r="AH7" i="65" l="1"/>
  <c r="AH8" i="65"/>
  <c r="AH9" i="65"/>
  <c r="AH10" i="65"/>
  <c r="AH11" i="65"/>
  <c r="AH12" i="65"/>
  <c r="AH13" i="65"/>
  <c r="AH14" i="65"/>
  <c r="AH15" i="65"/>
  <c r="AH16" i="65"/>
  <c r="AH17" i="65"/>
  <c r="AH18" i="65"/>
  <c r="AH19" i="65"/>
  <c r="AH20" i="65"/>
  <c r="AH21" i="65"/>
  <c r="AH22" i="65"/>
  <c r="AH23" i="65"/>
  <c r="AH24" i="65"/>
  <c r="AH25" i="65"/>
  <c r="AH26" i="65"/>
  <c r="AH27" i="65"/>
  <c r="AH28" i="65"/>
  <c r="AH29" i="65"/>
  <c r="AH30" i="65"/>
  <c r="AH31" i="65"/>
  <c r="AH32" i="65"/>
  <c r="AH33" i="65"/>
  <c r="AH34" i="65"/>
  <c r="AH35" i="65"/>
  <c r="AH36" i="65"/>
  <c r="AH37" i="65"/>
  <c r="AH38" i="65"/>
  <c r="AH39" i="65"/>
  <c r="AH40" i="65"/>
  <c r="AH41" i="65"/>
  <c r="AH42" i="65"/>
  <c r="AH43" i="65"/>
  <c r="AH44" i="65"/>
  <c r="AH45" i="65"/>
  <c r="AH46" i="65"/>
  <c r="AH47" i="65"/>
  <c r="AH48" i="65"/>
  <c r="AH49" i="65"/>
  <c r="AH50" i="65"/>
  <c r="AH51" i="65"/>
  <c r="AO7" i="64" l="1"/>
  <c r="AO8" i="64"/>
  <c r="AO9" i="64"/>
  <c r="AO10" i="64"/>
  <c r="AO11" i="64"/>
  <c r="AO12" i="64"/>
  <c r="AO13" i="64"/>
  <c r="AO14" i="64"/>
  <c r="AO15" i="64"/>
  <c r="AO16" i="64"/>
  <c r="AO17" i="64"/>
  <c r="AO18" i="64"/>
  <c r="AO19" i="64"/>
  <c r="AO20" i="64"/>
  <c r="AO21" i="64"/>
  <c r="AO22" i="64"/>
  <c r="AO23" i="64"/>
  <c r="AO24" i="64"/>
  <c r="AO25" i="64"/>
  <c r="AO26" i="64"/>
  <c r="AO27" i="64"/>
  <c r="AO28" i="64"/>
  <c r="AO29" i="64"/>
  <c r="AO30" i="64"/>
  <c r="AO31" i="64"/>
  <c r="AO32" i="64"/>
  <c r="AO33" i="64"/>
  <c r="AO34" i="64"/>
  <c r="AO35" i="64"/>
  <c r="AO36" i="64"/>
  <c r="AO37" i="64"/>
  <c r="AO38" i="64"/>
  <c r="AO39" i="64"/>
  <c r="AO40" i="64"/>
  <c r="AO41" i="64"/>
  <c r="AO42" i="64"/>
  <c r="AO43" i="64"/>
  <c r="AO44" i="64"/>
  <c r="AO45" i="64"/>
  <c r="AO46" i="64"/>
  <c r="AO47" i="64"/>
  <c r="AO48" i="64"/>
  <c r="AO49" i="64"/>
  <c r="AO50" i="64"/>
  <c r="AO51" i="64"/>
  <c r="AG50" i="67" l="1"/>
  <c r="AG51" i="67"/>
  <c r="AG35" i="67"/>
  <c r="AG36" i="67"/>
  <c r="AG37" i="67"/>
  <c r="AG38" i="67"/>
  <c r="AG39" i="67"/>
  <c r="AG40" i="67"/>
  <c r="AG41" i="67"/>
  <c r="AG42" i="67"/>
  <c r="AG43" i="67"/>
  <c r="AG44" i="67"/>
  <c r="AG45" i="67"/>
  <c r="AG46" i="67"/>
  <c r="AG47" i="67"/>
  <c r="AG48" i="67"/>
  <c r="AG49" i="67"/>
  <c r="AG19" i="67"/>
  <c r="AG20" i="67"/>
  <c r="AG21" i="67"/>
  <c r="AG22" i="67"/>
  <c r="AG23" i="67"/>
  <c r="AG24" i="67"/>
  <c r="AG25" i="67"/>
  <c r="AG26" i="67"/>
  <c r="AG27" i="67"/>
  <c r="AG28" i="67"/>
  <c r="AG29" i="67"/>
  <c r="AG30" i="67"/>
  <c r="AG31" i="67"/>
  <c r="AG32" i="67"/>
  <c r="AG33" i="67"/>
  <c r="AG34" i="67"/>
  <c r="AG7" i="67"/>
  <c r="AG8" i="67"/>
  <c r="AG9" i="67"/>
  <c r="AG10" i="67"/>
  <c r="AG11" i="67"/>
  <c r="AG12" i="67"/>
  <c r="AG13" i="67"/>
  <c r="AG14" i="67"/>
  <c r="AG15" i="67"/>
  <c r="AG16" i="67"/>
  <c r="AG17" i="67"/>
  <c r="AG18" i="67"/>
  <c r="AC6" i="76" l="1"/>
  <c r="Q46" i="70" l="1"/>
  <c r="AN6" i="70"/>
  <c r="AD6" i="69" l="1"/>
  <c r="AC6" i="66" l="1"/>
  <c r="AN39" i="64" l="1"/>
  <c r="AA39" i="64"/>
  <c r="AO6" i="64"/>
  <c r="E15" i="85" l="1"/>
  <c r="D15" i="85"/>
  <c r="K7" i="85"/>
  <c r="AB7" i="76" l="1"/>
  <c r="AB8" i="76"/>
  <c r="AB9" i="76"/>
  <c r="AB10" i="76"/>
  <c r="AB11" i="76"/>
  <c r="AB12" i="76"/>
  <c r="AB13" i="76"/>
  <c r="AB14" i="76"/>
  <c r="AB15" i="76"/>
  <c r="AB16" i="76"/>
  <c r="AB17" i="76"/>
  <c r="AB18" i="76"/>
  <c r="AB19" i="76"/>
  <c r="AB21" i="76"/>
  <c r="AB22" i="76"/>
  <c r="AB23" i="76"/>
  <c r="AB25" i="76"/>
  <c r="AB26" i="76"/>
  <c r="AB27" i="76"/>
  <c r="AB28" i="76"/>
  <c r="AB29" i="76"/>
  <c r="AB30" i="76"/>
  <c r="AB31" i="76"/>
  <c r="AB32" i="76"/>
  <c r="AB33" i="76"/>
  <c r="AB34" i="76"/>
  <c r="AB35" i="76"/>
  <c r="AB36" i="76"/>
  <c r="AB37" i="76"/>
  <c r="AB38" i="76"/>
  <c r="AB40" i="76"/>
  <c r="AB41" i="76"/>
  <c r="AB42" i="76"/>
  <c r="AB43" i="76"/>
  <c r="AB45" i="76"/>
  <c r="AB46" i="76"/>
  <c r="AB47" i="76"/>
  <c r="AB49" i="76"/>
  <c r="AB50" i="76"/>
  <c r="AB51" i="76"/>
  <c r="AB6" i="76"/>
  <c r="O6" i="63" l="1"/>
  <c r="BB6" i="68" l="1"/>
  <c r="AH6" i="65"/>
  <c r="G53" i="64" l="1"/>
  <c r="AG6" i="67" l="1"/>
  <c r="F53" i="70" l="1"/>
  <c r="B68" i="84" l="1"/>
  <c r="B69" i="84"/>
  <c r="B70" i="84"/>
  <c r="B71" i="84"/>
  <c r="B72" i="84"/>
  <c r="B73" i="84"/>
  <c r="B15" i="84" l="1"/>
  <c r="A40" i="84" l="1"/>
  <c r="A41" i="84"/>
  <c r="A42" i="84"/>
  <c r="A43" i="84"/>
  <c r="A44" i="84"/>
  <c r="A45" i="84"/>
  <c r="A46" i="84"/>
  <c r="A47" i="84"/>
  <c r="A48" i="84"/>
  <c r="A49" i="84"/>
  <c r="A50" i="84"/>
  <c r="A51" i="84"/>
  <c r="A52" i="84"/>
  <c r="A53" i="84"/>
  <c r="A54" i="84"/>
  <c r="A55" i="84"/>
  <c r="A56" i="84"/>
  <c r="A57" i="84"/>
  <c r="A58" i="84"/>
  <c r="A59" i="84"/>
  <c r="A60" i="84"/>
  <c r="A61" i="84"/>
  <c r="A62" i="84"/>
  <c r="A63" i="84"/>
  <c r="A64" i="84"/>
  <c r="A65" i="84"/>
  <c r="A66" i="84"/>
  <c r="A67" i="84"/>
  <c r="A68" i="84"/>
  <c r="A69" i="84"/>
  <c r="A70" i="84"/>
  <c r="A71" i="84"/>
  <c r="A72" i="84"/>
  <c r="A73" i="84"/>
  <c r="B67" i="84" l="1"/>
  <c r="B85" i="85" s="1"/>
  <c r="B86" i="85"/>
  <c r="B87" i="85"/>
  <c r="B88" i="85"/>
  <c r="B89" i="85"/>
  <c r="B90" i="85"/>
  <c r="B91" i="85"/>
  <c r="B38" i="84"/>
  <c r="B39" i="84"/>
  <c r="B40" i="85" s="1"/>
  <c r="B40" i="84"/>
  <c r="B42" i="85" s="1"/>
  <c r="B41" i="84"/>
  <c r="B43" i="85" s="1"/>
  <c r="B42" i="84"/>
  <c r="B44" i="85" s="1"/>
  <c r="B43" i="84"/>
  <c r="B45" i="85" s="1"/>
  <c r="B44" i="84"/>
  <c r="B46" i="85" s="1"/>
  <c r="B45" i="84"/>
  <c r="B47" i="85" s="1"/>
  <c r="B46" i="84"/>
  <c r="B48" i="85" s="1"/>
  <c r="B47" i="84"/>
  <c r="B49" i="85" s="1"/>
  <c r="B48" i="84"/>
  <c r="B50" i="85" s="1"/>
  <c r="B49" i="84"/>
  <c r="B51" i="85" s="1"/>
  <c r="B50" i="84"/>
  <c r="B61" i="85" s="1"/>
  <c r="B51" i="84"/>
  <c r="B62" i="85" s="1"/>
  <c r="B52" i="84"/>
  <c r="B63" i="85" s="1"/>
  <c r="B53" i="84"/>
  <c r="B66" i="85" s="1"/>
  <c r="B54" i="84"/>
  <c r="B67" i="85" s="1"/>
  <c r="B55" i="84"/>
  <c r="B68" i="85" s="1"/>
  <c r="B56" i="84"/>
  <c r="B71" i="85" s="1"/>
  <c r="B57" i="84"/>
  <c r="B72" i="85" s="1"/>
  <c r="B58" i="84"/>
  <c r="B73" i="85" s="1"/>
  <c r="B59" i="84"/>
  <c r="B74" i="85" s="1"/>
  <c r="B60" i="84"/>
  <c r="B75" i="85" s="1"/>
  <c r="B61" i="84"/>
  <c r="B76" i="85" s="1"/>
  <c r="B62" i="84"/>
  <c r="B77" i="85" s="1"/>
  <c r="B63" i="84"/>
  <c r="B80" i="85" s="1"/>
  <c r="B64" i="84"/>
  <c r="B81" i="85" s="1"/>
  <c r="B65" i="84"/>
  <c r="B82" i="85" s="1"/>
  <c r="B66" i="84"/>
  <c r="B83" i="85" s="1"/>
  <c r="B3" i="85"/>
  <c r="B4" i="82" s="1"/>
  <c r="I59" i="82" l="1"/>
  <c r="I56" i="82"/>
  <c r="I55" i="82"/>
  <c r="I60" i="82"/>
  <c r="I57" i="82"/>
  <c r="H57" i="82"/>
  <c r="H56" i="82"/>
  <c r="D13" i="82"/>
  <c r="E13" i="82"/>
  <c r="H13" i="82"/>
  <c r="F13" i="82"/>
  <c r="G13" i="82"/>
  <c r="I13" i="82"/>
  <c r="H60" i="82"/>
  <c r="H59" i="82"/>
  <c r="G59" i="82"/>
  <c r="G60" i="82"/>
  <c r="H55" i="82"/>
  <c r="G55" i="82"/>
  <c r="H54" i="82"/>
  <c r="G54" i="82"/>
  <c r="E54" i="82"/>
  <c r="F54" i="82"/>
  <c r="I53" i="82"/>
  <c r="H53" i="82"/>
  <c r="G53" i="82"/>
  <c r="I54" i="82"/>
  <c r="F53" i="82"/>
  <c r="F52" i="82"/>
  <c r="H50" i="82"/>
  <c r="E49" i="82"/>
  <c r="G47" i="82"/>
  <c r="G45" i="82"/>
  <c r="G50" i="82"/>
  <c r="F47" i="82"/>
  <c r="F45" i="82"/>
  <c r="F50" i="82"/>
  <c r="I46" i="82"/>
  <c r="E48" i="82"/>
  <c r="H52" i="82"/>
  <c r="I47" i="82"/>
  <c r="F49" i="82"/>
  <c r="H45" i="82"/>
  <c r="E52" i="82"/>
  <c r="I48" i="82"/>
  <c r="I51" i="82"/>
  <c r="H48" i="82"/>
  <c r="E45" i="82"/>
  <c r="G49" i="82"/>
  <c r="G52" i="82"/>
  <c r="H51" i="82"/>
  <c r="E50" i="82"/>
  <c r="G48" i="82"/>
  <c r="H46" i="82"/>
  <c r="D45" i="82"/>
  <c r="E53" i="82"/>
  <c r="G51" i="82"/>
  <c r="I49" i="82"/>
  <c r="F48" i="82"/>
  <c r="G46" i="82"/>
  <c r="F51" i="82"/>
  <c r="H49" i="82"/>
  <c r="F46" i="82"/>
  <c r="E51" i="82"/>
  <c r="I45" i="82"/>
  <c r="H47" i="82"/>
  <c r="G44" i="82"/>
  <c r="G42" i="82"/>
  <c r="G40" i="82"/>
  <c r="G38" i="82"/>
  <c r="I36" i="82"/>
  <c r="F35" i="82"/>
  <c r="E44" i="82"/>
  <c r="E42" i="82"/>
  <c r="E40" i="82"/>
  <c r="F38" i="82"/>
  <c r="H36" i="82"/>
  <c r="E35" i="82"/>
  <c r="I39" i="82"/>
  <c r="E38" i="82"/>
  <c r="H43" i="82"/>
  <c r="H41" i="82"/>
  <c r="H39" i="82"/>
  <c r="F36" i="82"/>
  <c r="G41" i="82"/>
  <c r="H37" i="82"/>
  <c r="E43" i="82"/>
  <c r="E39" i="82"/>
  <c r="I42" i="82"/>
  <c r="F37" i="82"/>
  <c r="H42" i="82"/>
  <c r="E37" i="82"/>
  <c r="I43" i="82"/>
  <c r="G36" i="82"/>
  <c r="I37" i="82"/>
  <c r="G39" i="82"/>
  <c r="E36" i="82"/>
  <c r="E41" i="82"/>
  <c r="I35" i="82"/>
  <c r="I38" i="82"/>
  <c r="H35" i="82"/>
  <c r="H40" i="82"/>
  <c r="G35" i="82"/>
  <c r="G43" i="82"/>
  <c r="G37" i="82"/>
  <c r="I40" i="82"/>
  <c r="H44" i="82"/>
  <c r="H38" i="82"/>
  <c r="G33" i="82"/>
  <c r="E32" i="82"/>
  <c r="G30" i="82"/>
  <c r="G28" i="82"/>
  <c r="E27" i="82"/>
  <c r="G31" i="82"/>
  <c r="D34" i="82"/>
  <c r="E31" i="82"/>
  <c r="F26" i="82"/>
  <c r="E26" i="82"/>
  <c r="H30" i="82"/>
  <c r="H34" i="82"/>
  <c r="F33" i="82"/>
  <c r="D32" i="82"/>
  <c r="E30" i="82"/>
  <c r="F28" i="82"/>
  <c r="D27" i="82"/>
  <c r="H31" i="82"/>
  <c r="D28" i="82"/>
  <c r="E34" i="82"/>
  <c r="G29" i="82"/>
  <c r="E29" i="82"/>
  <c r="I33" i="82"/>
  <c r="I28" i="82"/>
  <c r="F32" i="82"/>
  <c r="D26" i="82"/>
  <c r="G34" i="82"/>
  <c r="E33" i="82"/>
  <c r="I29" i="82"/>
  <c r="E28" i="82"/>
  <c r="I26" i="82"/>
  <c r="D33" i="82"/>
  <c r="H29" i="82"/>
  <c r="H26" i="82"/>
  <c r="I32" i="82"/>
  <c r="G26" i="82"/>
  <c r="H32" i="82"/>
  <c r="H27" i="82"/>
  <c r="G32" i="82"/>
  <c r="I30" i="82"/>
  <c r="H33" i="82"/>
  <c r="H28" i="82"/>
  <c r="F34" i="82"/>
  <c r="I27" i="82"/>
  <c r="G27" i="82"/>
  <c r="F27" i="82"/>
  <c r="G25" i="82"/>
  <c r="I23" i="82"/>
  <c r="F25" i="82"/>
  <c r="H23" i="82"/>
  <c r="H24" i="82"/>
  <c r="G24" i="82"/>
  <c r="D7" i="82"/>
  <c r="F24" i="82"/>
  <c r="E24" i="82"/>
  <c r="E25" i="82"/>
  <c r="G23" i="82"/>
  <c r="I24" i="82"/>
  <c r="F23" i="82"/>
  <c r="E23" i="82"/>
  <c r="H25" i="82"/>
  <c r="F7" i="82"/>
  <c r="H7" i="82"/>
  <c r="E7" i="82"/>
  <c r="G7" i="82"/>
  <c r="I7" i="82"/>
  <c r="G22" i="82"/>
  <c r="H19" i="82"/>
  <c r="E18" i="82"/>
  <c r="H18" i="82"/>
  <c r="E20" i="82"/>
  <c r="F22" i="82"/>
  <c r="G19" i="82"/>
  <c r="E19" i="82"/>
  <c r="H22" i="82"/>
  <c r="I19" i="82"/>
  <c r="E22" i="82"/>
  <c r="I20" i="82"/>
  <c r="F19" i="82"/>
  <c r="H20" i="82"/>
  <c r="F20" i="82"/>
  <c r="E21" i="82"/>
  <c r="H21" i="82"/>
  <c r="G20" i="82"/>
  <c r="I18" i="82"/>
  <c r="G21" i="82"/>
  <c r="F21" i="82"/>
  <c r="G18" i="82"/>
  <c r="F18" i="82"/>
  <c r="G14" i="82"/>
  <c r="D16" i="82"/>
  <c r="G15" i="82"/>
  <c r="F14" i="82"/>
  <c r="F15" i="82"/>
  <c r="E14" i="82"/>
  <c r="H17" i="82"/>
  <c r="E15" i="82"/>
  <c r="D14" i="82"/>
  <c r="H16" i="82"/>
  <c r="G17" i="82"/>
  <c r="G16" i="82"/>
  <c r="E17" i="82"/>
  <c r="D17" i="82"/>
  <c r="H14" i="82"/>
  <c r="H15" i="82"/>
  <c r="D15" i="82"/>
  <c r="I14" i="82"/>
  <c r="I15" i="82"/>
  <c r="E16" i="82"/>
  <c r="F16" i="82"/>
  <c r="F17" i="82"/>
  <c r="H11" i="82"/>
  <c r="E10" i="82"/>
  <c r="I8" i="82"/>
  <c r="F8" i="82"/>
  <c r="E12" i="82"/>
  <c r="D12" i="82"/>
  <c r="I11" i="82"/>
  <c r="G11" i="82"/>
  <c r="D10" i="82"/>
  <c r="H8" i="82"/>
  <c r="G8" i="82"/>
  <c r="F12" i="82"/>
  <c r="E8" i="82"/>
  <c r="E9" i="82"/>
  <c r="F10" i="82"/>
  <c r="H12" i="82"/>
  <c r="F11" i="82"/>
  <c r="I9" i="82"/>
  <c r="H9" i="82"/>
  <c r="H10" i="82"/>
  <c r="D8" i="82"/>
  <c r="G12" i="82"/>
  <c r="E11" i="82"/>
  <c r="D11" i="82"/>
  <c r="F9" i="82"/>
  <c r="G10" i="82"/>
  <c r="D9" i="82"/>
  <c r="G9" i="82"/>
  <c r="B39" i="85"/>
  <c r="B37" i="84"/>
  <c r="B38" i="85" s="1"/>
  <c r="B36" i="84"/>
  <c r="B37" i="85" s="1"/>
  <c r="B35" i="84"/>
  <c r="B36" i="85" s="1"/>
  <c r="B34" i="84"/>
  <c r="B35" i="85" s="1"/>
  <c r="B33" i="84"/>
  <c r="B32" i="85" s="1"/>
  <c r="B32" i="84"/>
  <c r="B31" i="85" s="1"/>
  <c r="B31" i="84"/>
  <c r="B30" i="85" s="1"/>
  <c r="B30" i="84"/>
  <c r="B28" i="85" s="1"/>
  <c r="B29" i="84"/>
  <c r="B26" i="85" s="1"/>
  <c r="B28" i="84"/>
  <c r="B27" i="85" s="1"/>
  <c r="B27" i="84"/>
  <c r="B25" i="85" s="1"/>
  <c r="B26" i="84"/>
  <c r="B24" i="85" s="1"/>
  <c r="B25" i="84"/>
  <c r="B22" i="85" s="1"/>
  <c r="B24" i="84"/>
  <c r="B20" i="85" s="1"/>
  <c r="B23" i="84"/>
  <c r="B21" i="85" s="1"/>
  <c r="B22" i="84"/>
  <c r="B19" i="85" s="1"/>
  <c r="B21" i="84"/>
  <c r="B18" i="85" s="1"/>
  <c r="B20" i="84"/>
  <c r="B59" i="85" s="1"/>
  <c r="B19" i="84"/>
  <c r="B58" i="85" s="1"/>
  <c r="B18" i="84"/>
  <c r="B57" i="85" s="1"/>
  <c r="B17" i="84"/>
  <c r="B56" i="85" s="1"/>
  <c r="B16" i="84"/>
  <c r="B55" i="85" s="1"/>
  <c r="B54" i="85"/>
  <c r="B12" i="84"/>
  <c r="A12" i="84" s="1"/>
  <c r="B11" i="84"/>
  <c r="B10" i="84"/>
  <c r="B9" i="84"/>
  <c r="A9" i="84" s="1"/>
  <c r="B8" i="84"/>
  <c r="A8" i="84" s="1"/>
  <c r="A10" i="84" l="1"/>
  <c r="A11" i="84"/>
  <c r="A39" i="84"/>
  <c r="A38" i="84"/>
  <c r="A37" i="84"/>
  <c r="A36" i="84"/>
  <c r="A35" i="84"/>
  <c r="A34" i="84"/>
  <c r="A33" i="84"/>
  <c r="A32" i="84"/>
  <c r="A31" i="84"/>
  <c r="A30" i="84"/>
  <c r="A29" i="84"/>
  <c r="A28" i="84"/>
  <c r="A27" i="84"/>
  <c r="A26" i="84"/>
  <c r="A25" i="84"/>
  <c r="A24" i="84"/>
  <c r="A23" i="84"/>
  <c r="A22" i="84"/>
  <c r="A21" i="84"/>
  <c r="A20" i="84"/>
  <c r="A19" i="84"/>
  <c r="A18" i="84"/>
  <c r="A17" i="84"/>
  <c r="A16" i="84"/>
  <c r="A15" i="84"/>
  <c r="C3" i="84"/>
  <c r="G7" i="84" s="1"/>
  <c r="F7" i="84" s="1"/>
  <c r="D9" i="83"/>
  <c r="D8" i="83"/>
  <c r="D7" i="83"/>
  <c r="D6" i="83"/>
  <c r="D5" i="83"/>
  <c r="E7" i="84" l="1"/>
  <c r="C4" i="84"/>
  <c r="D7" i="84" l="1"/>
  <c r="AA53" i="76"/>
  <c r="Y53" i="76"/>
  <c r="W53" i="76"/>
  <c r="V53" i="76"/>
  <c r="T53" i="76"/>
  <c r="S53" i="76"/>
  <c r="AB53" i="76" s="1"/>
  <c r="U51" i="76"/>
  <c r="U50" i="76"/>
  <c r="U49" i="76"/>
  <c r="U47" i="76"/>
  <c r="U46" i="76"/>
  <c r="U45" i="76"/>
  <c r="U43" i="76"/>
  <c r="U42" i="76"/>
  <c r="U41" i="76"/>
  <c r="U40" i="76"/>
  <c r="U38" i="76"/>
  <c r="U37" i="76"/>
  <c r="U36" i="76"/>
  <c r="U35" i="76"/>
  <c r="U34" i="76"/>
  <c r="U33" i="76"/>
  <c r="U32" i="76"/>
  <c r="U31" i="76"/>
  <c r="U30" i="76"/>
  <c r="U29" i="76"/>
  <c r="U28" i="76"/>
  <c r="U27" i="76"/>
  <c r="U26" i="76"/>
  <c r="U25" i="76"/>
  <c r="U23" i="76"/>
  <c r="U22" i="76"/>
  <c r="U21" i="76"/>
  <c r="U19" i="76"/>
  <c r="U18" i="76"/>
  <c r="U16" i="76"/>
  <c r="U15" i="76"/>
  <c r="U14" i="76"/>
  <c r="U13" i="76"/>
  <c r="U12" i="76"/>
  <c r="U11" i="76"/>
  <c r="U10" i="76"/>
  <c r="U9" i="76"/>
  <c r="U8" i="76"/>
  <c r="U7" i="76"/>
  <c r="Z6" i="76"/>
  <c r="X6" i="76"/>
  <c r="U6" i="76"/>
  <c r="Z53" i="76" l="1"/>
  <c r="C7" i="84"/>
  <c r="U53" i="76"/>
  <c r="X53" i="76"/>
  <c r="E53" i="63"/>
  <c r="AK53" i="68" l="1"/>
  <c r="A1" i="59" l="1"/>
  <c r="AB6" i="66"/>
  <c r="Q6" i="66"/>
  <c r="AA6" i="64"/>
  <c r="M74" i="59" l="1"/>
  <c r="J74" i="59"/>
  <c r="L74" i="59"/>
  <c r="K74" i="59"/>
  <c r="L79" i="59"/>
  <c r="L72" i="59"/>
  <c r="M78" i="59"/>
  <c r="L78" i="59"/>
  <c r="M73" i="59"/>
  <c r="L73" i="59"/>
  <c r="M77" i="59"/>
  <c r="L77" i="59"/>
  <c r="A2" i="59"/>
  <c r="M95" i="59"/>
  <c r="L95" i="59"/>
  <c r="L94" i="59"/>
  <c r="K77" i="59"/>
  <c r="J79" i="59"/>
  <c r="J77" i="59"/>
  <c r="K78" i="59"/>
  <c r="I78" i="59"/>
  <c r="H78" i="59"/>
  <c r="I77" i="59"/>
  <c r="H77" i="59"/>
  <c r="J78" i="59"/>
  <c r="M79" i="59"/>
  <c r="B74" i="59"/>
  <c r="C74" i="59"/>
  <c r="I73" i="59"/>
  <c r="H73" i="59"/>
  <c r="J72" i="59"/>
  <c r="K73" i="59"/>
  <c r="J73" i="59"/>
  <c r="H72" i="59"/>
  <c r="B72" i="59"/>
  <c r="C73" i="59"/>
  <c r="B73" i="59"/>
  <c r="K94" i="59"/>
  <c r="G93" i="59"/>
  <c r="D92" i="59"/>
  <c r="H91" i="59"/>
  <c r="L90" i="59"/>
  <c r="K90" i="59"/>
  <c r="G89" i="59"/>
  <c r="D88" i="59"/>
  <c r="H87" i="59"/>
  <c r="L86" i="59"/>
  <c r="D86" i="59"/>
  <c r="D8" i="59"/>
  <c r="B86" i="59"/>
  <c r="M58" i="59"/>
  <c r="L25" i="59"/>
  <c r="J58" i="59"/>
  <c r="J7" i="59"/>
  <c r="H56" i="59"/>
  <c r="G57" i="59"/>
  <c r="F8" i="59"/>
  <c r="G91" i="59"/>
  <c r="L88" i="59"/>
  <c r="D28" i="59"/>
  <c r="K57" i="59"/>
  <c r="I26" i="59"/>
  <c r="D89" i="59"/>
  <c r="D26" i="59"/>
  <c r="J25" i="59"/>
  <c r="I90" i="59"/>
  <c r="B87" i="59"/>
  <c r="G58" i="59"/>
  <c r="J94" i="59"/>
  <c r="M94" i="59"/>
  <c r="I93" i="59"/>
  <c r="E92" i="59"/>
  <c r="F91" i="59"/>
  <c r="J90" i="59"/>
  <c r="M90" i="59"/>
  <c r="I89" i="59"/>
  <c r="E88" i="59"/>
  <c r="F87" i="59"/>
  <c r="J86" i="59"/>
  <c r="E86" i="59"/>
  <c r="D7" i="59"/>
  <c r="B57" i="59"/>
  <c r="M57" i="59"/>
  <c r="L8" i="59"/>
  <c r="J57" i="59"/>
  <c r="I58" i="59"/>
  <c r="H28" i="59"/>
  <c r="G26" i="59"/>
  <c r="F7" i="59"/>
  <c r="L92" i="59"/>
  <c r="H89" i="59"/>
  <c r="K88" i="59"/>
  <c r="C26" i="59"/>
  <c r="J27" i="59"/>
  <c r="E26" i="59"/>
  <c r="K87" i="59"/>
  <c r="B8" i="59"/>
  <c r="H7" i="59"/>
  <c r="J91" i="59"/>
  <c r="J87" i="59"/>
  <c r="B7" i="59"/>
  <c r="J8" i="59"/>
  <c r="H94" i="59"/>
  <c r="L93" i="59"/>
  <c r="K93" i="59"/>
  <c r="G92" i="59"/>
  <c r="D91" i="59"/>
  <c r="H90" i="59"/>
  <c r="L89" i="59"/>
  <c r="K89" i="59"/>
  <c r="G88" i="59"/>
  <c r="D87" i="59"/>
  <c r="H86" i="59"/>
  <c r="D57" i="59"/>
  <c r="C87" i="59"/>
  <c r="B56" i="59"/>
  <c r="M26" i="59"/>
  <c r="L7" i="59"/>
  <c r="J56" i="59"/>
  <c r="I57" i="59"/>
  <c r="H27" i="59"/>
  <c r="G8" i="59"/>
  <c r="E57" i="59"/>
  <c r="K92" i="59"/>
  <c r="G86" i="59"/>
  <c r="B25" i="59"/>
  <c r="H25" i="59"/>
  <c r="K86" i="59"/>
  <c r="K26" i="59"/>
  <c r="I94" i="59"/>
  <c r="M91" i="59"/>
  <c r="M87" i="59"/>
  <c r="L26" i="59"/>
  <c r="F25" i="59"/>
  <c r="F94" i="59"/>
  <c r="J93" i="59"/>
  <c r="M93" i="59"/>
  <c r="I92" i="59"/>
  <c r="E91" i="59"/>
  <c r="F90" i="59"/>
  <c r="J89" i="59"/>
  <c r="M89" i="59"/>
  <c r="I88" i="59"/>
  <c r="E87" i="59"/>
  <c r="F86" i="59"/>
  <c r="D56" i="59"/>
  <c r="C57" i="59"/>
  <c r="B26" i="59"/>
  <c r="K58" i="59"/>
  <c r="J28" i="59"/>
  <c r="I28" i="59"/>
  <c r="H26" i="59"/>
  <c r="F58" i="59"/>
  <c r="E28" i="59"/>
  <c r="H93" i="59"/>
  <c r="D90" i="59"/>
  <c r="G87" i="59"/>
  <c r="L58" i="59"/>
  <c r="F57" i="59"/>
  <c r="L87" i="59"/>
  <c r="L56" i="59"/>
  <c r="F26" i="59"/>
  <c r="F92" i="59"/>
  <c r="F88" i="59"/>
  <c r="D25" i="59"/>
  <c r="H57" i="59"/>
  <c r="D94" i="59"/>
  <c r="E94" i="59"/>
  <c r="F93" i="59"/>
  <c r="J92" i="59"/>
  <c r="M92" i="59"/>
  <c r="I91" i="59"/>
  <c r="E90" i="59"/>
  <c r="F89" i="59"/>
  <c r="J88" i="59"/>
  <c r="M88" i="59"/>
  <c r="I87" i="59"/>
  <c r="I86" i="59"/>
  <c r="D27" i="59"/>
  <c r="C9" i="59"/>
  <c r="B9" i="59"/>
  <c r="L57" i="59"/>
  <c r="K28" i="59"/>
  <c r="J26" i="59"/>
  <c r="I8" i="59"/>
  <c r="H8" i="59"/>
  <c r="F56" i="59"/>
  <c r="E8" i="59"/>
  <c r="G94" i="59"/>
  <c r="D93" i="59"/>
  <c r="H92" i="59"/>
  <c r="L91" i="59"/>
  <c r="K91" i="59"/>
  <c r="G90" i="59"/>
  <c r="H88" i="59"/>
  <c r="C8" i="59"/>
  <c r="H58" i="59"/>
  <c r="E93" i="59"/>
  <c r="E89" i="59"/>
  <c r="M86" i="59"/>
  <c r="K8" i="59"/>
  <c r="J18" i="59"/>
  <c r="J17" i="59"/>
  <c r="F17" i="59"/>
  <c r="G18" i="59"/>
  <c r="F18" i="59"/>
  <c r="M18" i="59"/>
  <c r="D18" i="59"/>
  <c r="L17" i="59"/>
  <c r="I18" i="59"/>
  <c r="H17" i="59"/>
  <c r="H18" i="59"/>
  <c r="D17" i="59"/>
  <c r="E18" i="59"/>
  <c r="L18" i="59"/>
  <c r="K18" i="59"/>
  <c r="M66" i="59"/>
  <c r="L66" i="59"/>
  <c r="I66" i="59"/>
  <c r="K66" i="59"/>
  <c r="J66" i="59"/>
  <c r="H66" i="59"/>
  <c r="G66" i="59"/>
  <c r="E66" i="59"/>
  <c r="I65" i="59"/>
  <c r="E64" i="59"/>
  <c r="H63" i="59"/>
  <c r="I9" i="59"/>
  <c r="G13" i="59"/>
  <c r="F66" i="59"/>
  <c r="D66" i="59"/>
  <c r="G65" i="59"/>
  <c r="L64" i="59"/>
  <c r="F63" i="59"/>
  <c r="H9" i="59"/>
  <c r="H14" i="59"/>
  <c r="L65" i="59"/>
  <c r="E65" i="59"/>
  <c r="J64" i="59"/>
  <c r="D63" i="59"/>
  <c r="G9" i="59"/>
  <c r="I14" i="59"/>
  <c r="H13" i="59"/>
  <c r="D14" i="59"/>
  <c r="E33" i="59"/>
  <c r="J65" i="59"/>
  <c r="D65" i="59"/>
  <c r="H64" i="59"/>
  <c r="D9" i="59"/>
  <c r="F9" i="59"/>
  <c r="J14" i="59"/>
  <c r="I13" i="59"/>
  <c r="H12" i="59"/>
  <c r="E14" i="59"/>
  <c r="D13" i="59"/>
  <c r="M34" i="59"/>
  <c r="F13" i="59"/>
  <c r="I34" i="59"/>
  <c r="L28" i="59"/>
  <c r="F12" i="59"/>
  <c r="L27" i="59"/>
  <c r="L12" i="59"/>
  <c r="H65" i="59"/>
  <c r="F64" i="59"/>
  <c r="E9" i="59"/>
  <c r="K14" i="59"/>
  <c r="J13" i="59"/>
  <c r="F14" i="59"/>
  <c r="E13" i="59"/>
  <c r="D12" i="59"/>
  <c r="K34" i="59"/>
  <c r="F65" i="59"/>
  <c r="K64" i="59"/>
  <c r="L9" i="59"/>
  <c r="L14" i="59"/>
  <c r="J12" i="59"/>
  <c r="K9" i="59"/>
  <c r="G34" i="59"/>
  <c r="J63" i="59"/>
  <c r="D64" i="59"/>
  <c r="K13" i="59"/>
  <c r="G64" i="59"/>
  <c r="I64" i="59"/>
  <c r="L63" i="59"/>
  <c r="L13" i="59"/>
  <c r="K65" i="59"/>
  <c r="J9" i="59"/>
  <c r="G14" i="59"/>
  <c r="E34" i="59"/>
  <c r="I33" i="59"/>
  <c r="I36" i="59"/>
  <c r="J34" i="59"/>
  <c r="H31" i="59"/>
  <c r="B32" i="59"/>
  <c r="J33" i="59"/>
  <c r="L32" i="59"/>
  <c r="B31" i="59"/>
  <c r="H35" i="59"/>
  <c r="H34" i="59"/>
  <c r="F32" i="59"/>
  <c r="L36" i="59"/>
  <c r="H33" i="59"/>
  <c r="F31" i="59"/>
  <c r="L35" i="59"/>
  <c r="F34" i="59"/>
  <c r="K36" i="59"/>
  <c r="F33" i="59"/>
  <c r="M33" i="59"/>
  <c r="D34" i="59"/>
  <c r="J35" i="59"/>
  <c r="D33" i="59"/>
  <c r="G33" i="59"/>
  <c r="H36" i="59"/>
  <c r="G32" i="59"/>
  <c r="L31" i="59"/>
  <c r="E36" i="59"/>
  <c r="K32" i="59"/>
  <c r="D36" i="59"/>
  <c r="J32" i="59"/>
  <c r="D35" i="59"/>
  <c r="D32" i="59"/>
  <c r="L34" i="59"/>
  <c r="D31" i="59"/>
  <c r="K33" i="59"/>
  <c r="C32" i="59"/>
  <c r="E32" i="59"/>
  <c r="J31" i="59"/>
  <c r="J36" i="59"/>
  <c r="I32" i="59"/>
  <c r="L33" i="59"/>
  <c r="H32" i="59"/>
  <c r="D42" i="59"/>
  <c r="K49" i="59"/>
  <c r="F42" i="59"/>
  <c r="G44" i="59"/>
  <c r="E49" i="59"/>
  <c r="H44" i="59"/>
  <c r="C45" i="59"/>
  <c r="K44" i="59"/>
  <c r="H48" i="59"/>
  <c r="H49" i="59"/>
  <c r="L42" i="59"/>
  <c r="D45" i="59"/>
  <c r="H43" i="59"/>
  <c r="G45" i="59"/>
  <c r="J43" i="59"/>
  <c r="K45" i="59"/>
  <c r="C44" i="59"/>
  <c r="L45" i="59"/>
  <c r="H42" i="59"/>
  <c r="L43" i="59"/>
  <c r="I44" i="59"/>
  <c r="E45" i="59"/>
  <c r="I49" i="59"/>
  <c r="J42" i="59"/>
  <c r="B44" i="59"/>
  <c r="J44" i="59"/>
  <c r="F45" i="59"/>
  <c r="D48" i="59"/>
  <c r="J49" i="59"/>
  <c r="B43" i="59"/>
  <c r="D44" i="59"/>
  <c r="L44" i="59"/>
  <c r="H45" i="59"/>
  <c r="J48" i="59"/>
  <c r="L49" i="59"/>
  <c r="D43" i="59"/>
  <c r="E44" i="59"/>
  <c r="I45" i="59"/>
  <c r="L48" i="59"/>
  <c r="B42" i="59"/>
  <c r="F43" i="59"/>
  <c r="F44" i="59"/>
  <c r="B45" i="59"/>
  <c r="J45" i="59"/>
  <c r="D49" i="59"/>
  <c r="P7" i="71"/>
  <c r="P8" i="71"/>
  <c r="P9" i="71"/>
  <c r="P10" i="71"/>
  <c r="P11" i="71"/>
  <c r="P12" i="71"/>
  <c r="P13" i="71"/>
  <c r="P14" i="71"/>
  <c r="P15" i="71"/>
  <c r="P16" i="71"/>
  <c r="P17" i="71"/>
  <c r="P18" i="71"/>
  <c r="P19" i="71"/>
  <c r="P20" i="71"/>
  <c r="P21" i="71"/>
  <c r="P22" i="71"/>
  <c r="P23" i="71"/>
  <c r="I25" i="82" s="1"/>
  <c r="P24" i="71"/>
  <c r="P25" i="71"/>
  <c r="P26" i="71"/>
  <c r="P27" i="71"/>
  <c r="P28" i="71"/>
  <c r="P29" i="71"/>
  <c r="P30" i="71"/>
  <c r="P31" i="71"/>
  <c r="P32" i="71"/>
  <c r="P33" i="71"/>
  <c r="P34" i="71"/>
  <c r="P35" i="71"/>
  <c r="P36" i="71"/>
  <c r="P37" i="71"/>
  <c r="P38" i="71"/>
  <c r="P39" i="71"/>
  <c r="P40" i="71"/>
  <c r="P41" i="71"/>
  <c r="P42" i="71"/>
  <c r="P43" i="71"/>
  <c r="P44" i="71"/>
  <c r="P45" i="71"/>
  <c r="P46" i="71"/>
  <c r="P47" i="71"/>
  <c r="P48" i="71"/>
  <c r="P49" i="71"/>
  <c r="P50" i="71"/>
  <c r="P51" i="71"/>
  <c r="P6" i="71"/>
  <c r="O53" i="71"/>
  <c r="N53" i="71"/>
  <c r="BA7" i="68"/>
  <c r="BA8" i="68"/>
  <c r="BA9" i="68"/>
  <c r="BA10" i="68"/>
  <c r="BA11" i="68"/>
  <c r="BA12" i="68"/>
  <c r="BA13" i="68"/>
  <c r="BA14" i="68"/>
  <c r="BA15" i="68"/>
  <c r="BA17" i="68"/>
  <c r="BA18" i="68"/>
  <c r="BA19" i="68"/>
  <c r="BA21" i="68"/>
  <c r="BA23" i="68"/>
  <c r="BA25" i="68"/>
  <c r="BA26" i="68"/>
  <c r="BA27" i="68"/>
  <c r="BA28" i="68"/>
  <c r="BA29" i="68"/>
  <c r="BA30" i="68"/>
  <c r="BA31" i="68"/>
  <c r="BA32" i="68"/>
  <c r="BA33" i="68"/>
  <c r="BA34" i="68"/>
  <c r="BA35" i="68"/>
  <c r="BA36" i="68"/>
  <c r="BA37" i="68"/>
  <c r="BA40" i="68"/>
  <c r="BA41" i="68"/>
  <c r="BA42" i="68"/>
  <c r="BA43" i="68"/>
  <c r="BA46" i="68"/>
  <c r="BA47" i="68"/>
  <c r="BA48" i="68"/>
  <c r="BA49" i="68"/>
  <c r="BA50" i="68"/>
  <c r="BA51" i="68"/>
  <c r="BA6" i="68"/>
  <c r="AZ53" i="68"/>
  <c r="AY53" i="68"/>
  <c r="AL53" i="70"/>
  <c r="AM53" i="70"/>
  <c r="AB7" i="70"/>
  <c r="AB8" i="70"/>
  <c r="AB9" i="70"/>
  <c r="AB10" i="70"/>
  <c r="AB12" i="70"/>
  <c r="AB13" i="70"/>
  <c r="AB16" i="70"/>
  <c r="AB17" i="70"/>
  <c r="AB18" i="70"/>
  <c r="AB21" i="70"/>
  <c r="AB22" i="70"/>
  <c r="AB23" i="70"/>
  <c r="AB25" i="70"/>
  <c r="AB26" i="70"/>
  <c r="AB27" i="70"/>
  <c r="AB28" i="70"/>
  <c r="AB29" i="70"/>
  <c r="AB30" i="70"/>
  <c r="AB31" i="70"/>
  <c r="AB32" i="70"/>
  <c r="AB33" i="70"/>
  <c r="AB34" i="70"/>
  <c r="AB35" i="70"/>
  <c r="AB36" i="70"/>
  <c r="AB38" i="70"/>
  <c r="AB41" i="70"/>
  <c r="AB50" i="70"/>
  <c r="AB51" i="70"/>
  <c r="AB6" i="70"/>
  <c r="AA53" i="70"/>
  <c r="Q7" i="70"/>
  <c r="Q8" i="70"/>
  <c r="Q9" i="70"/>
  <c r="Q10" i="70"/>
  <c r="Q12" i="70"/>
  <c r="Q13" i="70"/>
  <c r="Q16" i="70"/>
  <c r="Q17" i="70"/>
  <c r="Q18" i="70"/>
  <c r="Q21" i="70"/>
  <c r="Q22" i="70"/>
  <c r="Q23" i="70"/>
  <c r="Q25" i="70"/>
  <c r="Q26" i="70"/>
  <c r="Q27" i="70"/>
  <c r="Q28" i="70"/>
  <c r="Q29" i="70"/>
  <c r="Q30" i="70"/>
  <c r="Q31" i="70"/>
  <c r="Q32" i="70"/>
  <c r="Q33" i="70"/>
  <c r="Q34" i="70"/>
  <c r="Q35" i="70"/>
  <c r="Q36" i="70"/>
  <c r="Q38" i="70"/>
  <c r="Q41" i="70"/>
  <c r="Q50" i="70"/>
  <c r="Q51" i="70"/>
  <c r="Q6" i="70"/>
  <c r="P53" i="70"/>
  <c r="AC53" i="69"/>
  <c r="AB53" i="69"/>
  <c r="T53" i="69"/>
  <c r="S53" i="69"/>
  <c r="G53" i="69"/>
  <c r="AL53" i="68"/>
  <c r="AM53" i="68"/>
  <c r="AN53" i="68"/>
  <c r="S7" i="68"/>
  <c r="S8" i="68"/>
  <c r="S9" i="68"/>
  <c r="S10" i="68"/>
  <c r="S12" i="68"/>
  <c r="S13" i="68"/>
  <c r="S14" i="68"/>
  <c r="S15" i="68"/>
  <c r="S17" i="68"/>
  <c r="S18" i="68"/>
  <c r="S19" i="68"/>
  <c r="S21" i="68"/>
  <c r="S23" i="68"/>
  <c r="S25" i="68"/>
  <c r="S26" i="68"/>
  <c r="S27" i="68"/>
  <c r="S28" i="68"/>
  <c r="S29" i="68"/>
  <c r="S30" i="68"/>
  <c r="S31" i="68"/>
  <c r="S32" i="68"/>
  <c r="S33" i="68"/>
  <c r="S34" i="68"/>
  <c r="S35" i="68"/>
  <c r="S36" i="68"/>
  <c r="S37" i="68"/>
  <c r="S40" i="68"/>
  <c r="S41" i="68"/>
  <c r="S42" i="68"/>
  <c r="S43" i="68"/>
  <c r="S46" i="68"/>
  <c r="S47" i="68"/>
  <c r="S48" i="68"/>
  <c r="S49" i="68"/>
  <c r="S50" i="68"/>
  <c r="S51" i="68"/>
  <c r="S6" i="68"/>
  <c r="R53" i="68"/>
  <c r="Q53" i="68"/>
  <c r="AE53" i="67"/>
  <c r="AD53" i="67"/>
  <c r="S53" i="67"/>
  <c r="R53" i="67"/>
  <c r="Q53" i="67"/>
  <c r="AF51" i="67"/>
  <c r="AF50" i="67"/>
  <c r="AF49" i="67"/>
  <c r="AF48" i="67"/>
  <c r="AF47" i="67"/>
  <c r="AF46" i="67"/>
  <c r="AF45" i="67"/>
  <c r="AF44" i="67"/>
  <c r="AF43" i="67"/>
  <c r="AF42" i="67"/>
  <c r="AF41" i="67"/>
  <c r="AF40" i="67"/>
  <c r="AF38" i="67"/>
  <c r="AF37" i="67"/>
  <c r="AF36" i="67"/>
  <c r="AF35" i="67"/>
  <c r="AF34" i="67"/>
  <c r="AF33" i="67"/>
  <c r="AF32" i="67"/>
  <c r="AF31" i="67"/>
  <c r="AF30" i="67"/>
  <c r="AF29" i="67"/>
  <c r="AF28" i="67"/>
  <c r="AF27" i="67"/>
  <c r="AF26" i="67"/>
  <c r="AF25" i="67"/>
  <c r="AF24" i="67"/>
  <c r="AF23" i="67"/>
  <c r="AF22" i="67"/>
  <c r="AF21" i="67"/>
  <c r="AF20" i="67"/>
  <c r="AF19" i="67"/>
  <c r="AF18" i="67"/>
  <c r="AF17" i="67"/>
  <c r="AF16" i="67"/>
  <c r="AF15" i="67"/>
  <c r="AF14" i="67"/>
  <c r="AF13" i="67"/>
  <c r="AF12" i="67"/>
  <c r="AF11" i="67"/>
  <c r="AF10" i="67"/>
  <c r="AF9" i="67"/>
  <c r="AF8" i="67"/>
  <c r="AF7" i="67"/>
  <c r="AF6" i="67"/>
  <c r="AB8" i="66"/>
  <c r="AB9" i="66"/>
  <c r="AB10" i="66"/>
  <c r="AB12" i="66"/>
  <c r="AB13" i="66"/>
  <c r="AB14" i="66"/>
  <c r="AB16" i="66"/>
  <c r="AB17" i="66"/>
  <c r="AB18" i="66"/>
  <c r="AB21" i="66"/>
  <c r="AB22" i="66"/>
  <c r="AB23" i="66"/>
  <c r="AB26" i="66"/>
  <c r="AB27" i="66"/>
  <c r="AB28" i="66"/>
  <c r="AB29" i="66"/>
  <c r="AB30" i="66"/>
  <c r="AB31" i="66"/>
  <c r="AB32" i="66"/>
  <c r="AB33" i="66"/>
  <c r="AB34" i="66"/>
  <c r="AB35" i="66"/>
  <c r="AB36" i="66"/>
  <c r="AB38" i="66"/>
  <c r="AB41" i="66"/>
  <c r="AB42" i="66"/>
  <c r="AB43" i="66"/>
  <c r="AB47" i="66"/>
  <c r="AB49" i="66"/>
  <c r="AB50" i="66"/>
  <c r="AB51" i="66"/>
  <c r="Q8" i="66"/>
  <c r="Q9" i="66"/>
  <c r="Q10" i="66"/>
  <c r="Q12" i="66"/>
  <c r="Q13" i="66"/>
  <c r="Q14" i="66"/>
  <c r="Q16" i="66"/>
  <c r="Q17" i="66"/>
  <c r="Q18" i="66"/>
  <c r="Q21" i="66"/>
  <c r="Q22" i="66"/>
  <c r="Q23" i="66"/>
  <c r="Q26" i="66"/>
  <c r="Q27" i="66"/>
  <c r="Q28" i="66"/>
  <c r="Q29" i="66"/>
  <c r="Q30" i="66"/>
  <c r="Q31" i="66"/>
  <c r="Q32" i="66"/>
  <c r="Q33" i="66"/>
  <c r="Q34" i="66"/>
  <c r="Q35" i="66"/>
  <c r="Q36" i="66"/>
  <c r="Q38" i="66"/>
  <c r="Q41" i="66"/>
  <c r="Q42" i="66"/>
  <c r="Q43" i="66"/>
  <c r="Q47" i="66"/>
  <c r="Q49" i="66"/>
  <c r="Q50" i="66"/>
  <c r="Q51" i="66"/>
  <c r="AA53" i="66"/>
  <c r="P53" i="66"/>
  <c r="F53" i="66"/>
  <c r="AG7" i="65"/>
  <c r="AG8" i="65"/>
  <c r="AG9" i="65"/>
  <c r="AG10" i="65"/>
  <c r="AG11" i="65"/>
  <c r="AG12" i="65"/>
  <c r="AG13" i="65"/>
  <c r="AG14" i="65"/>
  <c r="AG15" i="65"/>
  <c r="AG16" i="65"/>
  <c r="AG17" i="65"/>
  <c r="AG18" i="65"/>
  <c r="AG19" i="65"/>
  <c r="AG20" i="65"/>
  <c r="AG21" i="65"/>
  <c r="AG22" i="65"/>
  <c r="AG23" i="65"/>
  <c r="AG24" i="65"/>
  <c r="AG25" i="65"/>
  <c r="AG26" i="65"/>
  <c r="AG27" i="65"/>
  <c r="AG28" i="65"/>
  <c r="AG29" i="65"/>
  <c r="AG30" i="65"/>
  <c r="AG31" i="65"/>
  <c r="AG32" i="65"/>
  <c r="AG33" i="65"/>
  <c r="AG34" i="65"/>
  <c r="AG35" i="65"/>
  <c r="AG36" i="65"/>
  <c r="AG37" i="65"/>
  <c r="AG38" i="65"/>
  <c r="AG39" i="65"/>
  <c r="AG40" i="65"/>
  <c r="AG41" i="65"/>
  <c r="AG42" i="65"/>
  <c r="AG43" i="65"/>
  <c r="AG44" i="65"/>
  <c r="AG45" i="65"/>
  <c r="AG46" i="65"/>
  <c r="AG47" i="65"/>
  <c r="AG48" i="65"/>
  <c r="AG49" i="65"/>
  <c r="AG50" i="65"/>
  <c r="AG51" i="65"/>
  <c r="AG6" i="65"/>
  <c r="T23" i="65"/>
  <c r="T24" i="65"/>
  <c r="T25" i="65"/>
  <c r="T26" i="65"/>
  <c r="T27" i="65"/>
  <c r="T28" i="65"/>
  <c r="T29" i="65"/>
  <c r="T30" i="65"/>
  <c r="T31" i="65"/>
  <c r="T32" i="65"/>
  <c r="T33" i="65"/>
  <c r="T34" i="65"/>
  <c r="T35" i="65"/>
  <c r="T36" i="65"/>
  <c r="T37" i="65"/>
  <c r="T38" i="65"/>
  <c r="T39" i="65"/>
  <c r="T40" i="65"/>
  <c r="T41" i="65"/>
  <c r="T42" i="65"/>
  <c r="T43" i="65"/>
  <c r="T44" i="65"/>
  <c r="T45" i="65"/>
  <c r="T46" i="65"/>
  <c r="T47" i="65"/>
  <c r="T48" i="65"/>
  <c r="T49" i="65"/>
  <c r="T50" i="65"/>
  <c r="T51" i="65"/>
  <c r="T6" i="65"/>
  <c r="T7" i="65"/>
  <c r="T8" i="65"/>
  <c r="T9" i="65"/>
  <c r="T10" i="65"/>
  <c r="T11" i="65"/>
  <c r="T12" i="65"/>
  <c r="T13" i="65"/>
  <c r="T14" i="65"/>
  <c r="T15" i="65"/>
  <c r="T16" i="65"/>
  <c r="T17" i="65"/>
  <c r="T18" i="65"/>
  <c r="T19" i="65"/>
  <c r="T20" i="65"/>
  <c r="T21" i="65"/>
  <c r="T22" i="65"/>
  <c r="AF53" i="65"/>
  <c r="S53" i="65"/>
  <c r="G53" i="65"/>
  <c r="I21" i="82" l="1"/>
  <c r="I22" i="82"/>
  <c r="I16" i="82"/>
  <c r="I17" i="82"/>
  <c r="I31" i="82"/>
  <c r="M13" i="59"/>
  <c r="M14" i="59"/>
  <c r="T53" i="65"/>
  <c r="M36" i="59"/>
  <c r="I41" i="82"/>
  <c r="M32" i="59"/>
  <c r="I34" i="82"/>
  <c r="M28" i="59"/>
  <c r="AF53" i="67"/>
  <c r="M65" i="59"/>
  <c r="I52" i="82"/>
  <c r="M64" i="59"/>
  <c r="I50" i="82"/>
  <c r="M9" i="59"/>
  <c r="M8" i="59"/>
  <c r="Q53" i="70"/>
  <c r="AB53" i="70"/>
  <c r="Q53" i="66"/>
  <c r="AB53" i="66"/>
  <c r="BA53" i="68"/>
  <c r="S53" i="68"/>
  <c r="AG53" i="65"/>
  <c r="P53" i="71"/>
  <c r="AM53" i="64"/>
  <c r="Z53" i="64"/>
  <c r="N53" i="64"/>
  <c r="AN51" i="64"/>
  <c r="AA51" i="64"/>
  <c r="AN50" i="64"/>
  <c r="AA50" i="64"/>
  <c r="AN49" i="64"/>
  <c r="AA49" i="64"/>
  <c r="AN48" i="64"/>
  <c r="AA48" i="64"/>
  <c r="AN47" i="64"/>
  <c r="AA47" i="64"/>
  <c r="AN46" i="64"/>
  <c r="AA46" i="64"/>
  <c r="AN45" i="64"/>
  <c r="AA45" i="64"/>
  <c r="AN44" i="64"/>
  <c r="AA44" i="64"/>
  <c r="AN43" i="64"/>
  <c r="AA43" i="64"/>
  <c r="AN42" i="64"/>
  <c r="AA42" i="64"/>
  <c r="AN41" i="64"/>
  <c r="AA41" i="64"/>
  <c r="AN40" i="64"/>
  <c r="AA40" i="64"/>
  <c r="AN38" i="64"/>
  <c r="AA38" i="64"/>
  <c r="AN37" i="64"/>
  <c r="AA37" i="64"/>
  <c r="AN36" i="64"/>
  <c r="AA36" i="64"/>
  <c r="AN35" i="64"/>
  <c r="AA35" i="64"/>
  <c r="AN34" i="64"/>
  <c r="AA34" i="64"/>
  <c r="AN33" i="64"/>
  <c r="AA33" i="64"/>
  <c r="AN32" i="64"/>
  <c r="AA32" i="64"/>
  <c r="AN31" i="64"/>
  <c r="AA31" i="64"/>
  <c r="AN30" i="64"/>
  <c r="AA30" i="64"/>
  <c r="AN29" i="64"/>
  <c r="AA29" i="64"/>
  <c r="AN28" i="64"/>
  <c r="AA28" i="64"/>
  <c r="AN27" i="64"/>
  <c r="AA27" i="64"/>
  <c r="AN26" i="64"/>
  <c r="AA26" i="64"/>
  <c r="AN25" i="64"/>
  <c r="AA25" i="64"/>
  <c r="AN24" i="64"/>
  <c r="AA24" i="64"/>
  <c r="AN23" i="64"/>
  <c r="AA23" i="64"/>
  <c r="AN22" i="64"/>
  <c r="AA22" i="64"/>
  <c r="AN21" i="64"/>
  <c r="AA21" i="64"/>
  <c r="AN20" i="64"/>
  <c r="AA20" i="64"/>
  <c r="AN19" i="64"/>
  <c r="AA19" i="64"/>
  <c r="AN18" i="64"/>
  <c r="AA18" i="64"/>
  <c r="AN17" i="64"/>
  <c r="AA17" i="64"/>
  <c r="AN16" i="64"/>
  <c r="AA16" i="64"/>
  <c r="AN15" i="64"/>
  <c r="AA15" i="64"/>
  <c r="AN14" i="64"/>
  <c r="AA14" i="64"/>
  <c r="AN13" i="64"/>
  <c r="AA13" i="64"/>
  <c r="AN12" i="64"/>
  <c r="AA12" i="64"/>
  <c r="AN11" i="64"/>
  <c r="AA11" i="64"/>
  <c r="AN10" i="64"/>
  <c r="AA10" i="64"/>
  <c r="AN9" i="64"/>
  <c r="AA9" i="64"/>
  <c r="AN8" i="64"/>
  <c r="AA8" i="64"/>
  <c r="AN7" i="64"/>
  <c r="AA7" i="64"/>
  <c r="AN6" i="64"/>
  <c r="M53" i="63"/>
  <c r="N53" i="63" s="1"/>
  <c r="N51" i="63"/>
  <c r="N50" i="63"/>
  <c r="N49" i="63"/>
  <c r="N48" i="63"/>
  <c r="N47" i="63"/>
  <c r="N46" i="63"/>
  <c r="N45" i="63"/>
  <c r="N44" i="63"/>
  <c r="N43" i="63"/>
  <c r="N42" i="63"/>
  <c r="N41" i="63"/>
  <c r="N40" i="63"/>
  <c r="N39" i="63"/>
  <c r="N38" i="63"/>
  <c r="N37" i="63"/>
  <c r="N36" i="63"/>
  <c r="N35" i="63"/>
  <c r="N34" i="63"/>
  <c r="N33" i="63"/>
  <c r="N32" i="63"/>
  <c r="N31" i="63"/>
  <c r="N30" i="63"/>
  <c r="N29" i="63"/>
  <c r="N28" i="63"/>
  <c r="N27" i="63"/>
  <c r="N26" i="63"/>
  <c r="N25" i="63"/>
  <c r="N24" i="63"/>
  <c r="N23" i="63"/>
  <c r="N22" i="63"/>
  <c r="N21" i="63"/>
  <c r="N20" i="63"/>
  <c r="N19" i="63"/>
  <c r="N18" i="63"/>
  <c r="N17" i="63"/>
  <c r="N16" i="63"/>
  <c r="N15" i="63"/>
  <c r="N14" i="63"/>
  <c r="N13" i="63"/>
  <c r="N12" i="63"/>
  <c r="N11" i="63"/>
  <c r="N10" i="63"/>
  <c r="N9" i="63"/>
  <c r="N8" i="63"/>
  <c r="N7" i="63"/>
  <c r="N6" i="63"/>
  <c r="I44" i="82" l="1"/>
  <c r="M49" i="59"/>
  <c r="I10" i="82"/>
  <c r="M44" i="59"/>
  <c r="I12" i="82"/>
  <c r="M45" i="59"/>
  <c r="AN53" i="64"/>
  <c r="AA53" i="64"/>
  <c r="F6" i="84" l="1"/>
  <c r="G6" i="84"/>
  <c r="D3" i="84"/>
  <c r="E6" i="84"/>
  <c r="D4" i="84"/>
  <c r="D6" i="84"/>
  <c r="C6" i="84"/>
  <c r="D70" i="84" l="1"/>
  <c r="D67" i="84"/>
  <c r="D72" i="84"/>
  <c r="D69" i="84"/>
  <c r="D73" i="84"/>
  <c r="D71" i="84"/>
  <c r="D68" i="84"/>
  <c r="C67" i="84"/>
  <c r="C72" i="84"/>
  <c r="C69" i="84"/>
  <c r="C71" i="84"/>
  <c r="C68" i="84"/>
  <c r="C70" i="84"/>
  <c r="C73" i="84"/>
  <c r="E73" i="84"/>
  <c r="E70" i="84"/>
  <c r="E67" i="84"/>
  <c r="E72" i="84"/>
  <c r="E69" i="84"/>
  <c r="E71" i="84"/>
  <c r="E68" i="84"/>
  <c r="G71" i="84"/>
  <c r="G68" i="84"/>
  <c r="G73" i="84"/>
  <c r="G70" i="84"/>
  <c r="G67" i="84"/>
  <c r="G72" i="84"/>
  <c r="G69" i="84"/>
  <c r="F68" i="84"/>
  <c r="F73" i="84"/>
  <c r="F70" i="84"/>
  <c r="F67" i="84"/>
  <c r="F72" i="84"/>
  <c r="F71" i="84"/>
  <c r="F69" i="84"/>
  <c r="D15" i="84"/>
  <c r="D43" i="84"/>
  <c r="D51" i="84"/>
  <c r="D59" i="84"/>
  <c r="D40" i="84"/>
  <c r="D48" i="84"/>
  <c r="D56" i="84"/>
  <c r="D64" i="84"/>
  <c r="D46" i="84"/>
  <c r="D54" i="84"/>
  <c r="D45" i="84"/>
  <c r="D53" i="84"/>
  <c r="D61" i="84"/>
  <c r="D42" i="84"/>
  <c r="D50" i="84"/>
  <c r="D58" i="84"/>
  <c r="D66" i="84"/>
  <c r="D44" i="84"/>
  <c r="D60" i="84"/>
  <c r="D47" i="84"/>
  <c r="D55" i="84"/>
  <c r="D63" i="84"/>
  <c r="D62" i="84"/>
  <c r="D52" i="84"/>
  <c r="D41" i="84"/>
  <c r="D49" i="84"/>
  <c r="D57" i="84"/>
  <c r="D65" i="84"/>
  <c r="C15" i="84"/>
  <c r="C40" i="84"/>
  <c r="C48" i="84"/>
  <c r="C56" i="84"/>
  <c r="C64" i="84"/>
  <c r="C45" i="84"/>
  <c r="C53" i="84"/>
  <c r="C61" i="84"/>
  <c r="C49" i="84"/>
  <c r="C42" i="84"/>
  <c r="C50" i="84"/>
  <c r="C58" i="84"/>
  <c r="C66" i="84"/>
  <c r="C65" i="84"/>
  <c r="C51" i="84"/>
  <c r="C59" i="84"/>
  <c r="C47" i="84"/>
  <c r="C55" i="84"/>
  <c r="C63" i="84"/>
  <c r="C60" i="84"/>
  <c r="C57" i="84"/>
  <c r="C44" i="84"/>
  <c r="C52" i="84"/>
  <c r="C41" i="84"/>
  <c r="C46" i="84"/>
  <c r="C54" i="84"/>
  <c r="C62" i="84"/>
  <c r="C43" i="84"/>
  <c r="E15" i="84"/>
  <c r="E46" i="84"/>
  <c r="E54" i="84"/>
  <c r="E62" i="84"/>
  <c r="E43" i="84"/>
  <c r="E51" i="84"/>
  <c r="E59" i="84"/>
  <c r="E55" i="84"/>
  <c r="E63" i="84"/>
  <c r="E40" i="84"/>
  <c r="E48" i="84"/>
  <c r="E56" i="84"/>
  <c r="E64" i="84"/>
  <c r="E45" i="84"/>
  <c r="E53" i="84"/>
  <c r="E61" i="84"/>
  <c r="E65" i="84"/>
  <c r="E42" i="84"/>
  <c r="E50" i="84"/>
  <c r="E58" i="84"/>
  <c r="E66" i="84"/>
  <c r="E47" i="84"/>
  <c r="E49" i="84"/>
  <c r="E44" i="84"/>
  <c r="E52" i="84"/>
  <c r="E60" i="84"/>
  <c r="E41" i="84"/>
  <c r="E57" i="84"/>
  <c r="G15" i="84"/>
  <c r="G44" i="84"/>
  <c r="G52" i="84"/>
  <c r="G60" i="84"/>
  <c r="G41" i="84"/>
  <c r="G49" i="84"/>
  <c r="G57" i="84"/>
  <c r="G65" i="84"/>
  <c r="G45" i="84"/>
  <c r="G63" i="84"/>
  <c r="G46" i="84"/>
  <c r="G54" i="84"/>
  <c r="G62" i="84"/>
  <c r="G64" i="84"/>
  <c r="G53" i="84"/>
  <c r="G43" i="84"/>
  <c r="G51" i="84"/>
  <c r="G59" i="84"/>
  <c r="G55" i="84"/>
  <c r="G40" i="84"/>
  <c r="G48" i="84"/>
  <c r="G56" i="84"/>
  <c r="G61" i="84"/>
  <c r="G47" i="84"/>
  <c r="G42" i="84"/>
  <c r="G50" i="84"/>
  <c r="G58" i="84"/>
  <c r="G66" i="84"/>
  <c r="F15" i="84"/>
  <c r="F41" i="84"/>
  <c r="F49" i="84"/>
  <c r="F57" i="84"/>
  <c r="F65" i="84"/>
  <c r="F46" i="84"/>
  <c r="F54" i="84"/>
  <c r="F62" i="84"/>
  <c r="F61" i="84"/>
  <c r="F43" i="84"/>
  <c r="F51" i="84"/>
  <c r="F59" i="84"/>
  <c r="F42" i="84"/>
  <c r="F40" i="84"/>
  <c r="F48" i="84"/>
  <c r="F56" i="84"/>
  <c r="F64" i="84"/>
  <c r="F50" i="84"/>
  <c r="F44" i="84"/>
  <c r="F45" i="84"/>
  <c r="F53" i="84"/>
  <c r="F58" i="84"/>
  <c r="F66" i="84"/>
  <c r="F60" i="84"/>
  <c r="F47" i="84"/>
  <c r="F55" i="84"/>
  <c r="F63" i="84"/>
  <c r="F52" i="84"/>
  <c r="C29" i="84"/>
  <c r="C30" i="84"/>
  <c r="C31" i="84"/>
  <c r="C38" i="84"/>
  <c r="C39" i="84"/>
  <c r="C34" i="84"/>
  <c r="C35" i="84"/>
  <c r="C32" i="84"/>
  <c r="C37" i="84"/>
  <c r="C33" i="84"/>
  <c r="C36" i="84"/>
  <c r="D29" i="84"/>
  <c r="D31" i="84"/>
  <c r="D30" i="84"/>
  <c r="D37" i="84"/>
  <c r="D38" i="84"/>
  <c r="D39" i="84"/>
  <c r="D34" i="84"/>
  <c r="D32" i="84"/>
  <c r="D33" i="84"/>
  <c r="D35" i="84"/>
  <c r="D36" i="84"/>
  <c r="E29" i="84"/>
  <c r="E38" i="84"/>
  <c r="E36" i="84"/>
  <c r="E32" i="84"/>
  <c r="E35" i="84"/>
  <c r="E39" i="84"/>
  <c r="E34" i="84"/>
  <c r="E33" i="84"/>
  <c r="E37" i="84"/>
  <c r="E31" i="84"/>
  <c r="E30" i="84"/>
  <c r="G29" i="84"/>
  <c r="G38" i="84"/>
  <c r="G37" i="84"/>
  <c r="G33" i="84"/>
  <c r="G32" i="84"/>
  <c r="G30" i="84"/>
  <c r="G35" i="84"/>
  <c r="G39" i="84"/>
  <c r="G31" i="84"/>
  <c r="G36" i="84"/>
  <c r="G34" i="84"/>
  <c r="F29" i="84"/>
  <c r="F31" i="84"/>
  <c r="F33" i="84"/>
  <c r="F35" i="84"/>
  <c r="F36" i="84"/>
  <c r="F32" i="84"/>
  <c r="F38" i="84"/>
  <c r="F37" i="84"/>
  <c r="F34" i="84"/>
  <c r="F39" i="84"/>
  <c r="F30" i="84"/>
  <c r="G12" i="84"/>
  <c r="G9" i="84"/>
  <c r="G20" i="84"/>
  <c r="G10" i="84"/>
  <c r="G8" i="84"/>
  <c r="G11" i="84"/>
  <c r="G21" i="84"/>
  <c r="G17" i="84"/>
  <c r="G22" i="84"/>
  <c r="G16" i="84"/>
  <c r="G18" i="84"/>
  <c r="G19" i="84"/>
  <c r="G25" i="84"/>
  <c r="G24" i="84"/>
  <c r="G27" i="84"/>
  <c r="G26" i="84"/>
  <c r="G28" i="84"/>
  <c r="G23" i="84"/>
  <c r="C10" i="84"/>
  <c r="C8" i="84"/>
  <c r="C27" i="84"/>
  <c r="C12" i="84"/>
  <c r="C9" i="84"/>
  <c r="C23" i="84"/>
  <c r="C11" i="84"/>
  <c r="C24" i="84"/>
  <c r="C28" i="84"/>
  <c r="C17" i="84"/>
  <c r="C18" i="84"/>
  <c r="C26" i="84"/>
  <c r="C25" i="84"/>
  <c r="C22" i="84"/>
  <c r="C16" i="84"/>
  <c r="C20" i="84"/>
  <c r="C21" i="84"/>
  <c r="C19" i="84"/>
  <c r="D8" i="84"/>
  <c r="D11" i="84"/>
  <c r="D10" i="84"/>
  <c r="D9" i="84"/>
  <c r="D12" i="84"/>
  <c r="D22" i="84"/>
  <c r="D24" i="84"/>
  <c r="D18" i="84"/>
  <c r="D19" i="84"/>
  <c r="D27" i="84"/>
  <c r="D23" i="84"/>
  <c r="D28" i="84"/>
  <c r="D21" i="84"/>
  <c r="D25" i="84"/>
  <c r="D20" i="84"/>
  <c r="D26" i="84"/>
  <c r="D16" i="84"/>
  <c r="D17" i="84"/>
  <c r="E11" i="84"/>
  <c r="E9" i="84"/>
  <c r="E10" i="84"/>
  <c r="E8" i="84"/>
  <c r="E17" i="84"/>
  <c r="E12" i="84"/>
  <c r="E19" i="84"/>
  <c r="E28" i="84"/>
  <c r="E16" i="84"/>
  <c r="E25" i="84"/>
  <c r="E24" i="84"/>
  <c r="E26" i="84"/>
  <c r="E22" i="84"/>
  <c r="E23" i="84"/>
  <c r="E18" i="84"/>
  <c r="E21" i="84"/>
  <c r="E27" i="84"/>
  <c r="E20" i="84"/>
  <c r="F10" i="84"/>
  <c r="F8" i="84"/>
  <c r="F9" i="84"/>
  <c r="F12" i="84"/>
  <c r="F11" i="84"/>
  <c r="F23" i="84"/>
  <c r="F16" i="84"/>
  <c r="F24" i="84"/>
  <c r="F25" i="84"/>
  <c r="F19" i="84"/>
  <c r="F17" i="84"/>
  <c r="F21" i="84"/>
  <c r="F27" i="84"/>
  <c r="F28" i="84"/>
  <c r="F18" i="84"/>
  <c r="F22" i="84"/>
  <c r="F26" i="84"/>
  <c r="F20" i="84"/>
  <c r="I6" i="84"/>
  <c r="D21" i="85" l="1"/>
  <c r="E66" i="85"/>
  <c r="D44" i="85"/>
  <c r="D91" i="85"/>
  <c r="E24" i="85"/>
  <c r="E22" i="85"/>
  <c r="D27" i="85"/>
  <c r="D19" i="85"/>
  <c r="K8" i="85"/>
  <c r="E36" i="85"/>
  <c r="D36" i="85"/>
  <c r="E63" i="85"/>
  <c r="E47" i="85"/>
  <c r="E74" i="85"/>
  <c r="E72" i="85"/>
  <c r="D49" i="85"/>
  <c r="D45" i="85"/>
  <c r="D82" i="85"/>
  <c r="E88" i="85"/>
  <c r="D86" i="85"/>
  <c r="E82" i="85"/>
  <c r="D62" i="85"/>
  <c r="E19" i="85"/>
  <c r="E20" i="85"/>
  <c r="D24" i="85"/>
  <c r="D56" i="85"/>
  <c r="E28" i="85"/>
  <c r="E32" i="85"/>
  <c r="D28" i="85"/>
  <c r="E80" i="85"/>
  <c r="E46" i="85"/>
  <c r="E62" i="85"/>
  <c r="E51" i="85"/>
  <c r="D76" i="85"/>
  <c r="D66" i="85"/>
  <c r="D72" i="85"/>
  <c r="E91" i="85"/>
  <c r="D89" i="85"/>
  <c r="D55" i="85"/>
  <c r="E44" i="85"/>
  <c r="D47" i="85"/>
  <c r="E85" i="85"/>
  <c r="E57" i="85"/>
  <c r="E55" i="85"/>
  <c r="D25" i="85"/>
  <c r="D18" i="85"/>
  <c r="E30" i="85"/>
  <c r="D31" i="85"/>
  <c r="E68" i="85"/>
  <c r="E61" i="85"/>
  <c r="E45" i="85"/>
  <c r="E43" i="85"/>
  <c r="D71" i="85"/>
  <c r="D81" i="85"/>
  <c r="D51" i="85"/>
  <c r="E86" i="85"/>
  <c r="E58" i="85"/>
  <c r="E21" i="85"/>
  <c r="D20" i="85"/>
  <c r="H8" i="85"/>
  <c r="E26" i="85"/>
  <c r="E49" i="85"/>
  <c r="E81" i="85"/>
  <c r="E76" i="85"/>
  <c r="E54" i="85"/>
  <c r="D50" i="85"/>
  <c r="D77" i="85"/>
  <c r="D43" i="85"/>
  <c r="D87" i="85"/>
  <c r="D8" i="85"/>
  <c r="D54" i="85"/>
  <c r="E27" i="85"/>
  <c r="E35" i="85"/>
  <c r="D32" i="85"/>
  <c r="E25" i="85"/>
  <c r="D22" i="85"/>
  <c r="B8" i="85"/>
  <c r="E38" i="85"/>
  <c r="D35" i="85"/>
  <c r="D38" i="85"/>
  <c r="E75" i="85"/>
  <c r="E71" i="85"/>
  <c r="E77" i="85"/>
  <c r="D83" i="85"/>
  <c r="D42" i="85"/>
  <c r="D67" i="85"/>
  <c r="D75" i="85"/>
  <c r="E87" i="85"/>
  <c r="D90" i="85"/>
  <c r="E59" i="85"/>
  <c r="E37" i="85"/>
  <c r="E18" i="85"/>
  <c r="D58" i="85"/>
  <c r="F8" i="85"/>
  <c r="E39" i="85"/>
  <c r="D37" i="85"/>
  <c r="D39" i="85"/>
  <c r="E83" i="85"/>
  <c r="E50" i="85"/>
  <c r="E67" i="85"/>
  <c r="D73" i="85"/>
  <c r="D68" i="85"/>
  <c r="D48" i="85"/>
  <c r="D63" i="85"/>
  <c r="E89" i="85"/>
  <c r="D85" i="85"/>
  <c r="E56" i="85"/>
  <c r="D57" i="85"/>
  <c r="D59" i="85"/>
  <c r="E31" i="85"/>
  <c r="D30" i="85"/>
  <c r="D26" i="85"/>
  <c r="E73" i="85"/>
  <c r="E42" i="85"/>
  <c r="E48" i="85"/>
  <c r="D61" i="85"/>
  <c r="D74" i="85"/>
  <c r="D80" i="85"/>
  <c r="D46" i="85"/>
  <c r="E90" i="85"/>
  <c r="D88" i="85"/>
  <c r="E40" i="85"/>
  <c r="D40" i="85"/>
  <c r="H11" i="84"/>
  <c r="H9" i="84"/>
  <c r="H12" i="84"/>
  <c r="H10" i="84"/>
  <c r="H8" i="84"/>
  <c r="H26" i="85" l="1"/>
  <c r="H63" i="85"/>
  <c r="H59" i="85"/>
  <c r="H57" i="85"/>
  <c r="H51" i="85"/>
  <c r="H28" i="85"/>
  <c r="H44" i="85"/>
  <c r="H40" i="85"/>
  <c r="H75" i="85"/>
  <c r="H73" i="85"/>
  <c r="H86" i="85"/>
  <c r="H32" i="85"/>
  <c r="H82" i="85"/>
  <c r="H85" i="85"/>
  <c r="H30" i="85"/>
  <c r="H80" i="85"/>
  <c r="H46" i="85"/>
  <c r="H58" i="85"/>
  <c r="H47" i="85"/>
  <c r="H24" i="85"/>
  <c r="H61" i="85"/>
  <c r="H67" i="85"/>
  <c r="H18" i="85"/>
  <c r="H22" i="85"/>
  <c r="H76" i="85"/>
  <c r="H56" i="85"/>
  <c r="H50" i="85"/>
  <c r="H81" i="85"/>
  <c r="H66" i="85"/>
  <c r="H36" i="85"/>
  <c r="H74" i="85"/>
  <c r="H89" i="85"/>
  <c r="H43" i="85"/>
  <c r="H38" i="85"/>
  <c r="H62" i="85"/>
  <c r="H83" i="85"/>
  <c r="H77" i="85"/>
  <c r="H88" i="85"/>
  <c r="H39" i="85"/>
  <c r="H48" i="85"/>
  <c r="H37" i="85"/>
  <c r="H20" i="85"/>
  <c r="H19" i="85"/>
  <c r="H27" i="85"/>
  <c r="H45" i="85"/>
  <c r="H31" i="85"/>
  <c r="H55" i="85"/>
  <c r="H72" i="85"/>
  <c r="H49" i="85"/>
  <c r="H91" i="85"/>
  <c r="H90" i="85"/>
  <c r="H42" i="85"/>
  <c r="H35" i="85"/>
  <c r="H87" i="85"/>
  <c r="H54" i="85"/>
  <c r="H71" i="85"/>
  <c r="H68" i="85"/>
  <c r="H25" i="85"/>
  <c r="H21" i="85"/>
  <c r="K9" i="85"/>
  <c r="H9" i="85"/>
  <c r="D9" i="85"/>
  <c r="B9" i="85"/>
  <c r="F9" i="85"/>
  <c r="J15" i="85"/>
</calcChain>
</file>

<file path=xl/sharedStrings.xml><?xml version="1.0" encoding="utf-8"?>
<sst xmlns="http://schemas.openxmlformats.org/spreadsheetml/2006/main" count="3937" uniqueCount="427">
  <si>
    <t>A. Taubman College of Architecture &amp; Urban Planning</t>
  </si>
  <si>
    <t>College of Engineering</t>
  </si>
  <si>
    <t>College of Literature, Science &amp; Arts</t>
  </si>
  <si>
    <t>College of Pharmacy</t>
  </si>
  <si>
    <t>Executive Vice President for Academic Affairs</t>
  </si>
  <si>
    <t>Ford School of Public Policy</t>
  </si>
  <si>
    <t>Institute of Continuing Legal Education</t>
  </si>
  <si>
    <t>Institute for Social Research</t>
  </si>
  <si>
    <t>Law School</t>
  </si>
  <si>
    <t>Life Sciences Institute</t>
  </si>
  <si>
    <t>Rackham Graduate School</t>
  </si>
  <si>
    <t>Ross Business School</t>
  </si>
  <si>
    <t>School of Dentistry</t>
  </si>
  <si>
    <t>School of Education</t>
  </si>
  <si>
    <t>School of Information</t>
  </si>
  <si>
    <t>School of Kinesiology</t>
  </si>
  <si>
    <t>School of Music, Theatre &amp; Dance</t>
  </si>
  <si>
    <t>School of Nursing</t>
  </si>
  <si>
    <t>School of Public Health</t>
  </si>
  <si>
    <t>School of Social Work</t>
  </si>
  <si>
    <t>Stamps School of Art and Design</t>
  </si>
  <si>
    <t>University Libraries</t>
  </si>
  <si>
    <t>Hospital and Health Centers</t>
  </si>
  <si>
    <t>Exec VP for Medical Affairs-Shared Services</t>
  </si>
  <si>
    <t>Medical School</t>
  </si>
  <si>
    <t>Michigan Health Corporation</t>
  </si>
  <si>
    <t>Athletics</t>
  </si>
  <si>
    <t>University Audits</t>
  </si>
  <si>
    <t>Facilities and Operations</t>
  </si>
  <si>
    <t>Finance</t>
  </si>
  <si>
    <t>Investments Office</t>
  </si>
  <si>
    <t>Shared Service Center</t>
  </si>
  <si>
    <t>University Human Resources</t>
  </si>
  <si>
    <t>Division of Public Safety &amp; Security</t>
  </si>
  <si>
    <t>Office of Student Publications</t>
  </si>
  <si>
    <t>Vice President and General Counsel</t>
  </si>
  <si>
    <t>Vice President and Secretary of the University</t>
  </si>
  <si>
    <t>Vice President for Development</t>
  </si>
  <si>
    <t>Vice President for Global Communications</t>
  </si>
  <si>
    <t>Vice President for Government Relations</t>
  </si>
  <si>
    <t>Vice President for Information Technology</t>
  </si>
  <si>
    <t>Vice President for Student Life</t>
  </si>
  <si>
    <t>Vice President of Research</t>
  </si>
  <si>
    <t>University of Michigan Dearborn</t>
  </si>
  <si>
    <t>University of Michigan Flint</t>
  </si>
  <si>
    <t>Certifying Unit</t>
  </si>
  <si>
    <t>All Funds</t>
  </si>
  <si>
    <t>Sponsored Programs</t>
  </si>
  <si>
    <t>#</t>
  </si>
  <si>
    <t>Total</t>
  </si>
  <si>
    <t>$</t>
  </si>
  <si>
    <t>DR4 Disbursements</t>
  </si>
  <si>
    <t>%</t>
  </si>
  <si>
    <t>FY 2016</t>
  </si>
  <si>
    <t>FY 2015</t>
  </si>
  <si>
    <t>FY 2014</t>
  </si>
  <si>
    <t>FY 2017</t>
  </si>
  <si>
    <t>P-Cards Open &gt; 6 months (#)</t>
  </si>
  <si>
    <t>Underutilized P-Cards (#/%)</t>
  </si>
  <si>
    <t>No Activity P-Cards (#/%)</t>
  </si>
  <si>
    <t>Cash Handling</t>
  </si>
  <si>
    <t>Deposits (#/$)</t>
  </si>
  <si>
    <t>P-Cards Open (#)</t>
  </si>
  <si>
    <t>Deficit Balances</t>
  </si>
  <si>
    <t>R</t>
  </si>
  <si>
    <t>&gt; 20 %</t>
  </si>
  <si>
    <r>
      <t xml:space="preserve">10% </t>
    </r>
    <r>
      <rPr>
        <u/>
        <sz val="11"/>
        <color theme="1"/>
        <rFont val="Calibri"/>
        <family val="2"/>
        <scheme val="minor"/>
      </rPr>
      <t>&lt;</t>
    </r>
  </si>
  <si>
    <t>Y</t>
  </si>
  <si>
    <r>
      <rPr>
        <u/>
        <sz val="11"/>
        <color theme="1"/>
        <rFont val="Calibri"/>
        <family val="2"/>
        <scheme val="minor"/>
      </rPr>
      <t>&lt;</t>
    </r>
    <r>
      <rPr>
        <sz val="11"/>
        <color theme="1"/>
        <rFont val="Calibri"/>
        <family val="2"/>
        <scheme val="minor"/>
      </rPr>
      <t xml:space="preserve"> 20%</t>
    </r>
  </si>
  <si>
    <t>G</t>
  </si>
  <si>
    <t>&lt; 10%</t>
  </si>
  <si>
    <t>&gt; 25 %</t>
  </si>
  <si>
    <r>
      <t xml:space="preserve">15% </t>
    </r>
    <r>
      <rPr>
        <u/>
        <sz val="11"/>
        <color theme="1"/>
        <rFont val="Calibri"/>
        <family val="2"/>
        <scheme val="minor"/>
      </rPr>
      <t>&lt;</t>
    </r>
  </si>
  <si>
    <r>
      <rPr>
        <u/>
        <sz val="11"/>
        <color theme="1"/>
        <rFont val="Calibri"/>
        <family val="2"/>
        <scheme val="minor"/>
      </rPr>
      <t>&lt;</t>
    </r>
    <r>
      <rPr>
        <sz val="11"/>
        <color theme="1"/>
        <rFont val="Calibri"/>
        <family val="2"/>
        <scheme val="minor"/>
      </rPr>
      <t xml:space="preserve"> 25%</t>
    </r>
  </si>
  <si>
    <r>
      <rPr>
        <u/>
        <sz val="11"/>
        <color theme="1"/>
        <rFont val="Calibri"/>
        <family val="2"/>
        <scheme val="minor"/>
      </rPr>
      <t>&gt;</t>
    </r>
    <r>
      <rPr>
        <sz val="11"/>
        <color theme="1"/>
        <rFont val="Calibri"/>
        <family val="2"/>
        <scheme val="minor"/>
      </rPr>
      <t xml:space="preserve"> 1.5%</t>
    </r>
  </si>
  <si>
    <t>Effort Reporting</t>
  </si>
  <si>
    <t>&lt; 76%</t>
  </si>
  <si>
    <r>
      <t xml:space="preserve">76% </t>
    </r>
    <r>
      <rPr>
        <u/>
        <sz val="11"/>
        <color theme="1"/>
        <rFont val="Calibri"/>
        <family val="2"/>
        <scheme val="minor"/>
      </rPr>
      <t>&lt;</t>
    </r>
  </si>
  <si>
    <r>
      <rPr>
        <u/>
        <sz val="11"/>
        <color theme="1"/>
        <rFont val="Calibri"/>
        <family val="2"/>
        <scheme val="minor"/>
      </rPr>
      <t>&lt;</t>
    </r>
    <r>
      <rPr>
        <sz val="11"/>
        <color theme="1"/>
        <rFont val="Calibri"/>
        <family val="2"/>
        <scheme val="minor"/>
      </rPr>
      <t xml:space="preserve"> 86%</t>
    </r>
  </si>
  <si>
    <t>&gt; 1.9%</t>
  </si>
  <si>
    <t>• Total dollars transferred over 90 days as a % of total dollars paid</t>
  </si>
  <si>
    <r>
      <t xml:space="preserve">1.3% </t>
    </r>
    <r>
      <rPr>
        <u/>
        <sz val="11"/>
        <color theme="1"/>
        <rFont val="Calibri"/>
        <family val="2"/>
        <scheme val="minor"/>
      </rPr>
      <t>&lt;</t>
    </r>
  </si>
  <si>
    <r>
      <rPr>
        <u/>
        <sz val="11"/>
        <color theme="1"/>
        <rFont val="Calibri"/>
        <family val="2"/>
        <scheme val="minor"/>
      </rPr>
      <t>&lt;</t>
    </r>
    <r>
      <rPr>
        <sz val="11"/>
        <color theme="1"/>
        <rFont val="Calibri"/>
        <family val="2"/>
        <scheme val="minor"/>
      </rPr>
      <t xml:space="preserve"> 1.9%</t>
    </r>
  </si>
  <si>
    <t>Underutilized P-Cards</t>
  </si>
  <si>
    <t>&gt; 20%</t>
  </si>
  <si>
    <r>
      <t xml:space="preserve">14% </t>
    </r>
    <r>
      <rPr>
        <u/>
        <sz val="11"/>
        <color theme="1"/>
        <rFont val="Calibri"/>
        <family val="2"/>
        <scheme val="minor"/>
      </rPr>
      <t>&lt;</t>
    </r>
  </si>
  <si>
    <t>• Number of underutilized P-Cards as a % of total number of P-Cards open for at least 6 months</t>
  </si>
  <si>
    <t>No Activity P-Cards</t>
  </si>
  <si>
    <t>&gt; 4.2%</t>
  </si>
  <si>
    <t>• Definition: P-Card open for at least 6 months and no activity, regardless of credit limit</t>
  </si>
  <si>
    <r>
      <t xml:space="preserve">3.2% </t>
    </r>
    <r>
      <rPr>
        <u/>
        <sz val="11"/>
        <color theme="1"/>
        <rFont val="Calibri"/>
        <family val="2"/>
        <scheme val="minor"/>
      </rPr>
      <t>&lt;</t>
    </r>
  </si>
  <si>
    <r>
      <rPr>
        <u/>
        <sz val="11"/>
        <color theme="1"/>
        <rFont val="Calibri"/>
        <family val="2"/>
        <scheme val="minor"/>
      </rPr>
      <t>&lt;</t>
    </r>
    <r>
      <rPr>
        <sz val="11"/>
        <color theme="1"/>
        <rFont val="Calibri"/>
        <family val="2"/>
        <scheme val="minor"/>
      </rPr>
      <t xml:space="preserve"> 4.2%</t>
    </r>
  </si>
  <si>
    <t>• Number of P-Cards with no activity as a % of total number of P-Cards open at least 6 months</t>
  </si>
  <si>
    <t>&lt; 3.2%</t>
  </si>
  <si>
    <t>Approvers Up to Date on Training (#/%)</t>
  </si>
  <si>
    <t>Final Approvers (#)</t>
  </si>
  <si>
    <t>Locations</t>
  </si>
  <si>
    <t># Depositors</t>
  </si>
  <si>
    <t>Refunds (#/$)</t>
  </si>
  <si>
    <t>No expenses &gt; 5 years with Balance (#/$)</t>
  </si>
  <si>
    <t>Total Dollars Paid ($)</t>
  </si>
  <si>
    <t>Deficit Balances (#/$)</t>
  </si>
  <si>
    <t>Gift Funds</t>
  </si>
  <si>
    <t>AY 2016</t>
  </si>
  <si>
    <t>AY 2015</t>
  </si>
  <si>
    <t>AY 2014</t>
  </si>
  <si>
    <t>Non-Traditional Students (#/$)</t>
  </si>
  <si>
    <t>Effort Certification</t>
  </si>
  <si>
    <t>Depositors Up to Date on Training (#/%)</t>
  </si>
  <si>
    <t>• Total dollars transferred as a % of total dollars paid</t>
  </si>
  <si>
    <t>• Total dollars transferred after Project Grant (P/G) end date as a % of total dollars paid</t>
  </si>
  <si>
    <t>Cash Deposits:</t>
  </si>
  <si>
    <t>Retroactive Pay Changes:</t>
  </si>
  <si>
    <t>• Number of final expense approvers</t>
  </si>
  <si>
    <t>• Total amount of deposits</t>
  </si>
  <si>
    <t>• Number of: deposit locations, deposits, and authorized depositors</t>
  </si>
  <si>
    <t>Credit Cards</t>
  </si>
  <si>
    <t>• Total number and amount of payments received</t>
  </si>
  <si>
    <t>• Total number and amount of refunds</t>
  </si>
  <si>
    <t>No expenses &gt; 5 years with a balance</t>
  </si>
  <si>
    <t>• Definition: gift that had no expenses in 5 or more years and has a balance</t>
  </si>
  <si>
    <t>• Total number and current balance</t>
  </si>
  <si>
    <t>• Total employees certified time by 8/15/yyyy</t>
  </si>
  <si>
    <t>Unit Administered Financial Aid:</t>
  </si>
  <si>
    <t>• Overrides total and as a percent of total disbursements</t>
  </si>
  <si>
    <t>• Non-traditional students count and total amount</t>
  </si>
  <si>
    <t>• Percent of merchants PCI compliant as a percentage of total number of merchants</t>
  </si>
  <si>
    <t>• Definition: gift balance is less than $0, number and total deficit balance</t>
  </si>
  <si>
    <t>• Total amount of financial aid</t>
  </si>
  <si>
    <t>University Total</t>
  </si>
  <si>
    <t>Final Approvers</t>
  </si>
  <si>
    <t>T&amp;E Approvers</t>
  </si>
  <si>
    <t>PCards</t>
  </si>
  <si>
    <t>Open</t>
  </si>
  <si>
    <t>Open&gt;6M</t>
  </si>
  <si>
    <t>UnderUtilized</t>
  </si>
  <si>
    <t>No Activity</t>
  </si>
  <si>
    <t>Retro Pay</t>
  </si>
  <si>
    <t>Total Pay</t>
  </si>
  <si>
    <t>Total Transfers</t>
  </si>
  <si>
    <t>&gt;90 Days Transfers</t>
  </si>
  <si>
    <t>Sponsored Programs Retro Pay</t>
  </si>
  <si>
    <t>Total SP Transfers</t>
  </si>
  <si>
    <t>SP Transfers after P/G End Date</t>
  </si>
  <si>
    <t>Cash Deposits</t>
  </si>
  <si>
    <t># Dep</t>
  </si>
  <si>
    <t>$ Dep</t>
  </si>
  <si>
    <t>Depositors/Training</t>
  </si>
  <si>
    <t># Up To Date Train</t>
  </si>
  <si>
    <t># Merch</t>
  </si>
  <si>
    <t>% Merch Compl</t>
  </si>
  <si>
    <t>Credit Cards-PCI</t>
  </si>
  <si>
    <t># Merch Compl</t>
  </si>
  <si>
    <t>Credits Card Payment Info</t>
  </si>
  <si>
    <t>$ Total</t>
  </si>
  <si>
    <t># Refunds</t>
  </si>
  <si>
    <t>$ Refunds</t>
  </si>
  <si>
    <t>Balances</t>
  </si>
  <si>
    <t>No Expenses</t>
  </si>
  <si>
    <t>Overrides</t>
  </si>
  <si>
    <t>% of Total</t>
  </si>
  <si>
    <t>Non-Traditional Students</t>
  </si>
  <si>
    <t>Merchants compliant (#/%)</t>
  </si>
  <si>
    <t>Disbursement w/ No Rules Applied ($/%)</t>
  </si>
  <si>
    <t>Overrides ($/%)</t>
  </si>
  <si>
    <t>Deposit Locations (#)</t>
  </si>
  <si>
    <t>Merchants (#)</t>
  </si>
  <si>
    <t>Total Transfers ($/%)</t>
  </si>
  <si>
    <t>Transfers after P/G End Date ($/%)</t>
  </si>
  <si>
    <t>Transfers &gt; 90 Days ($/%)</t>
  </si>
  <si>
    <t>Travel and Expense Approvers</t>
  </si>
  <si>
    <t>P-Card / Travel &amp; Expense:</t>
  </si>
  <si>
    <t>Gift Fund Balance</t>
  </si>
  <si>
    <t>• Definition: All gift funds with balance (positive or negative)</t>
  </si>
  <si>
    <t>• FY2014 through FYTD 2017 (3/31/2017) data, as of April 14, 2017</t>
  </si>
  <si>
    <t>Depositors (#)</t>
  </si>
  <si>
    <t>Merchant Training</t>
  </si>
  <si>
    <t>Auth Users</t>
  </si>
  <si>
    <t>Up To Date Train</t>
  </si>
  <si>
    <t>% Up to Date</t>
  </si>
  <si>
    <t>Authorized Users (#)</t>
  </si>
  <si>
    <t>• No disbursement rules applied (DR4) total and as a percent of total disbursements</t>
  </si>
  <si>
    <t>Students who are not currently admitted to or enrolled in a University of Michigan degree or certificate seeking program</t>
  </si>
  <si>
    <t>Financial Aid record built manually in order to allow payments to flow through financial aid</t>
  </si>
  <si>
    <t>Disbursements that involve manual override (i.e. not batch)</t>
  </si>
  <si>
    <t>P-Cards</t>
  </si>
  <si>
    <t>Unit Financial Aid Totals ($)</t>
  </si>
  <si>
    <t>Individuals that are required to "Re-Certify" are shown as complete, based on the original completion date</t>
  </si>
  <si>
    <t>Individuals that were/are assigned to Admin DeptID 677440 (Benefits for Non-Distribution Appointments), have been reassigned to their prior Admin DeptID</t>
  </si>
  <si>
    <t>Faculty/Staff Required to Certify (#)</t>
  </si>
  <si>
    <t>Completed by 08/15 (#/%)</t>
  </si>
  <si>
    <t>Reqrd</t>
  </si>
  <si>
    <t>On-Time</t>
  </si>
  <si>
    <t>% On-Time</t>
  </si>
  <si>
    <t>• Total employees required to certify effort</t>
  </si>
  <si>
    <t>• Total employees certified</t>
  </si>
  <si>
    <r>
      <t xml:space="preserve">• Definition: credit limit </t>
    </r>
    <r>
      <rPr>
        <u/>
        <sz val="11"/>
        <color theme="1"/>
        <rFont val="Calibri"/>
        <family val="2"/>
        <scheme val="minor"/>
      </rPr>
      <t>&gt;</t>
    </r>
    <r>
      <rPr>
        <sz val="11"/>
        <color theme="1"/>
        <rFont val="Calibri"/>
        <family val="2"/>
        <scheme val="minor"/>
      </rPr>
      <t xml:space="preserve"> $10,000 and max monthly spend is &lt; 50% of credit limit, P-Card is open for at least 6 months</t>
    </r>
  </si>
  <si>
    <t>School for Environment and Sustainability</t>
  </si>
  <si>
    <t>AY 2017</t>
  </si>
  <si>
    <t>Color Coding for areas that show Percent of Trainers that are up to date</t>
  </si>
  <si>
    <t># Total Transactions</t>
  </si>
  <si>
    <t>Financial Aid (Academic Year</t>
  </si>
  <si>
    <t>`</t>
  </si>
  <si>
    <t>Unit</t>
  </si>
  <si>
    <t>=IF(ISNA(VLOOKUP('Filter-Home Page'!$D$12,'Combined Info'!$A$6:$FE$51,9,FALSE))=TRUE,"DEPT not Found",VLOOKUP('Filter-Home Page'!$D$12,'Combined Info'!$A$6:$FE$51,9,FALSE))</t>
  </si>
  <si>
    <t>=IF(ISNA(VLOOKUP($B$4,PCards!$A$5:$G$51,7,FALSE))=TRUE,"DEPT not Found",VLOOKUP($B$4,PCards!$A$5:$G$51,7,FALSE))</t>
  </si>
  <si>
    <t>FY 2018</t>
  </si>
  <si>
    <t>FY 2019</t>
  </si>
  <si>
    <t>AY 2018</t>
  </si>
  <si>
    <t>AY 2019</t>
  </si>
  <si>
    <t>Cash &amp; Checks</t>
  </si>
  <si>
    <t>Credit Card Merchants</t>
  </si>
  <si>
    <r>
      <t xml:space="preserve">Cash Handling </t>
    </r>
    <r>
      <rPr>
        <b/>
        <u/>
        <sz val="12"/>
        <color theme="1"/>
        <rFont val="Calibri"/>
        <family val="2"/>
        <scheme val="minor"/>
      </rPr>
      <t>($ in 000's)</t>
    </r>
  </si>
  <si>
    <r>
      <t xml:space="preserve">Gift Funds </t>
    </r>
    <r>
      <rPr>
        <b/>
        <u/>
        <sz val="12"/>
        <color theme="1"/>
        <rFont val="Calibri"/>
        <family val="2"/>
        <scheme val="minor"/>
      </rPr>
      <t>($ in 000's)</t>
    </r>
  </si>
  <si>
    <r>
      <t xml:space="preserve">Unit Administered Financial Aid </t>
    </r>
    <r>
      <rPr>
        <b/>
        <u/>
        <sz val="12"/>
        <color theme="1"/>
        <rFont val="Calibri"/>
        <family val="2"/>
        <scheme val="minor"/>
      </rPr>
      <t>($ in 000's)</t>
    </r>
  </si>
  <si>
    <t>FY 2015 through FYTD 2019  Scorecard Assumptions</t>
  </si>
  <si>
    <r>
      <t xml:space="preserve">Employment </t>
    </r>
    <r>
      <rPr>
        <b/>
        <u/>
        <sz val="12"/>
        <color theme="1"/>
        <rFont val="Calibri"/>
        <family val="2"/>
        <scheme val="minor"/>
      </rPr>
      <t>($ in 000's)</t>
    </r>
  </si>
  <si>
    <t>Sales (#/$)</t>
  </si>
  <si>
    <t>Users Up to Date on Training (#/%)</t>
  </si>
  <si>
    <t>All Funds Retro Pay</t>
  </si>
  <si>
    <t>Approvers Up to Date on Training</t>
  </si>
  <si>
    <t>Employment/Payroll Process</t>
  </si>
  <si>
    <t>P</t>
  </si>
  <si>
    <t>PCard Process</t>
  </si>
  <si>
    <t>Journal Entry Process</t>
  </si>
  <si>
    <t>Gift Card Process</t>
  </si>
  <si>
    <t>Cash Handling Process</t>
  </si>
  <si>
    <t>Travel &amp; Expense (Concur) Process</t>
  </si>
  <si>
    <t>HSIP Process</t>
  </si>
  <si>
    <t>Unit Administered Financial Aid Process</t>
  </si>
  <si>
    <t>Financial Stewardship of Gifts</t>
  </si>
  <si>
    <t>N/A</t>
  </si>
  <si>
    <t>Annual Certification Responses</t>
  </si>
  <si>
    <t>Human Subject Incentives Program</t>
  </si>
  <si>
    <t>Unit Administered Financial Aid</t>
  </si>
  <si>
    <t xml:space="preserve"> </t>
  </si>
  <si>
    <t>Capital Equipment</t>
  </si>
  <si>
    <t>All Funds-#</t>
  </si>
  <si>
    <t>Spon Programs #</t>
  </si>
  <si>
    <t>SP % of Total</t>
  </si>
  <si>
    <t>All Funds Blank Custodians</t>
  </si>
  <si>
    <t>SP- Blank Custodians</t>
  </si>
  <si>
    <t>All Funds- In Serv 10 or More Yrs</t>
  </si>
  <si>
    <t>All Fund-10Yr %</t>
  </si>
  <si>
    <t>SP- In Serv 10 or More Yrs</t>
  </si>
  <si>
    <t>SP-10Yr %</t>
  </si>
  <si>
    <t>All Funds Capital Equipment</t>
  </si>
  <si>
    <t>Total Assets (#)</t>
  </si>
  <si>
    <t>Assets - Capital Equipment</t>
  </si>
  <si>
    <r>
      <t xml:space="preserve">Assets In Service </t>
    </r>
    <r>
      <rPr>
        <u/>
        <sz val="12"/>
        <color theme="1"/>
        <rFont val="Calibri"/>
        <family val="2"/>
        <scheme val="minor"/>
      </rPr>
      <t>&gt;</t>
    </r>
    <r>
      <rPr>
        <sz val="12"/>
        <color theme="1"/>
        <rFont val="Calibri"/>
        <family val="2"/>
        <scheme val="minor"/>
      </rPr>
      <t xml:space="preserve"> 10 Years (#/%)</t>
    </r>
  </si>
  <si>
    <t>Assets with Blank Custodians</t>
  </si>
  <si>
    <t>Sponsored Programs Capital Equipment</t>
  </si>
  <si>
    <t>Total SP Assets (#/%)</t>
  </si>
  <si>
    <r>
      <t xml:space="preserve">SP Assets In Service </t>
    </r>
    <r>
      <rPr>
        <u/>
        <sz val="12"/>
        <color theme="1"/>
        <rFont val="Calibri"/>
        <family val="2"/>
        <scheme val="minor"/>
      </rPr>
      <t>&gt;</t>
    </r>
    <r>
      <rPr>
        <sz val="12"/>
        <color theme="1"/>
        <rFont val="Calibri"/>
        <family val="2"/>
        <scheme val="minor"/>
      </rPr>
      <t xml:space="preserve"> 10 Years (#/%)</t>
    </r>
  </si>
  <si>
    <t>SP Assets with Blank Custodians</t>
  </si>
  <si>
    <t>INPUT YOUR FINANCIAL DATA</t>
  </si>
  <si>
    <t>Tap to view Financial Report</t>
  </si>
  <si>
    <t>METRIC NAME</t>
  </si>
  <si>
    <t>DEFINE KEY METRICS HERE</t>
  </si>
  <si>
    <t xml:space="preserve"> SELECT UP TO 5 KEY METRICS TO SHOW AT THE TOP OF THE REPORT</t>
  </si>
  <si>
    <t xml:space="preserve">  Tap to view Financial Report</t>
  </si>
  <si>
    <t>This worksheet is used for the Financial Report calculations and should remain hidden.</t>
  </si>
  <si>
    <t>Position</t>
  </si>
  <si>
    <t>This year</t>
  </si>
  <si>
    <t>Previous Year</t>
  </si>
  <si>
    <t>Key Metrics</t>
  </si>
  <si>
    <t>KEY METRICS</t>
  </si>
  <si>
    <t>ALL METRICS</t>
  </si>
  <si>
    <t>METRIC</t>
  </si>
  <si>
    <t>METRIC 49</t>
  </si>
  <si>
    <t>METRIC 50</t>
  </si>
  <si>
    <t>METRIC 51</t>
  </si>
  <si>
    <t>Open PCards</t>
  </si>
  <si>
    <t>PCards Open for 6 Months</t>
  </si>
  <si>
    <t>Underutilized PCards #</t>
  </si>
  <si>
    <t>Underutilized PCards %</t>
  </si>
  <si>
    <t>Unused Pcards #</t>
  </si>
  <si>
    <t>Unused Pcards %</t>
  </si>
  <si>
    <t>CHANGE</t>
  </si>
  <si>
    <t xml:space="preserve"> YOU CAN DEFINE UP TO 50 KEY METRICS FOR 7 YEARS</t>
  </si>
  <si>
    <t>=IF(ISNA(VLOOKUP($B$4,PCards!$A$5:$AH$51,2,FALSE))=TRUE,"DEPT not Found",VLOOKUP($B$4,PCards!$A$5:$AH$51,2,FALSE))</t>
  </si>
  <si>
    <t>Blank Custodians #</t>
  </si>
  <si>
    <t>All Metrics (works up to 50 metrics)</t>
  </si>
  <si>
    <t>Employment ($ in 000's)</t>
  </si>
  <si>
    <t>Total Paid $</t>
  </si>
  <si>
    <t>Total Transfers %</t>
  </si>
  <si>
    <t>Total Transfers $</t>
  </si>
  <si>
    <t>Transfers &gt; 90 Days %</t>
  </si>
  <si>
    <t>SP</t>
  </si>
  <si>
    <t>Transfers After PG End Date $</t>
  </si>
  <si>
    <t>Transfers After PG End Date %</t>
  </si>
  <si>
    <t>Faculty/Staff Required to Certify #</t>
  </si>
  <si>
    <t>On-Time #</t>
  </si>
  <si>
    <t>On-Time %</t>
  </si>
  <si>
    <t>Cash Handling ($ in 000's)</t>
  </si>
  <si>
    <t>Deposit Locations #</t>
  </si>
  <si>
    <t>Deposits #</t>
  </si>
  <si>
    <t>Depositors #</t>
  </si>
  <si>
    <t>Depositors - Up to Date on Training #</t>
  </si>
  <si>
    <t>Depositors - Up to Date on Training %</t>
  </si>
  <si>
    <t>Merchants #</t>
  </si>
  <si>
    <t>Merchants Compliant #</t>
  </si>
  <si>
    <t>Merchants Compliant %</t>
  </si>
  <si>
    <t>Sales #</t>
  </si>
  <si>
    <t>Refunds #</t>
  </si>
  <si>
    <t>Refunds $</t>
  </si>
  <si>
    <t>Authorized Users #</t>
  </si>
  <si>
    <t>Users Up to Date on Training #</t>
  </si>
  <si>
    <t>Users Up to Date on Training %</t>
  </si>
  <si>
    <t>Travel &amp; Expense (Concur)</t>
  </si>
  <si>
    <t>T&amp;E</t>
  </si>
  <si>
    <t>Final Approvers #</t>
  </si>
  <si>
    <t>Final Approvers Up to Date on Training #</t>
  </si>
  <si>
    <t>Final Approvers Up to Date on Training %</t>
  </si>
  <si>
    <t>Gift Funds ($ in 000's)</t>
  </si>
  <si>
    <t>Gift</t>
  </si>
  <si>
    <r>
      <t xml:space="preserve">No Expenses </t>
    </r>
    <r>
      <rPr>
        <u/>
        <sz val="11"/>
        <color theme="1" tint="0.34998626667073579"/>
        <rFont val="Arial"/>
        <family val="2"/>
      </rPr>
      <t>&gt;</t>
    </r>
    <r>
      <rPr>
        <sz val="11"/>
        <color theme="1" tint="0.34998626667073579"/>
        <rFont val="Arial"/>
        <family val="2"/>
      </rPr>
      <t xml:space="preserve"> 5 years #</t>
    </r>
  </si>
  <si>
    <r>
      <t xml:space="preserve">No Expenses </t>
    </r>
    <r>
      <rPr>
        <u/>
        <sz val="11"/>
        <color theme="1" tint="0.34998626667073579"/>
        <rFont val="Arial"/>
        <family val="2"/>
      </rPr>
      <t>&gt;</t>
    </r>
    <r>
      <rPr>
        <sz val="11"/>
        <color theme="1" tint="0.34998626667073579"/>
        <rFont val="Arial"/>
        <family val="2"/>
      </rPr>
      <t xml:space="preserve"> 5 years Balance $</t>
    </r>
  </si>
  <si>
    <t>Unit Administered Financial Aid ($ in 000's)</t>
  </si>
  <si>
    <t>FA</t>
  </si>
  <si>
    <t>Total Disbursed $</t>
  </si>
  <si>
    <t>Overrides $</t>
  </si>
  <si>
    <t>Overrides %</t>
  </si>
  <si>
    <t>No Disbursement Rules Applied (DR4) $</t>
  </si>
  <si>
    <t>No Disbursement Rules Applied (DR4) %</t>
  </si>
  <si>
    <t>Non Traditional Students #</t>
  </si>
  <si>
    <t>Non Traditional Students $</t>
  </si>
  <si>
    <t>Total Assets #</t>
  </si>
  <si>
    <t>SP Equip</t>
  </si>
  <si>
    <t>Retro Salary Transfers &gt; 90 Days $</t>
  </si>
  <si>
    <t>*</t>
  </si>
  <si>
    <t>* = Not required for Fiscal Year</t>
  </si>
  <si>
    <t>Total Dollars Paid</t>
  </si>
  <si>
    <t>Total Dollars Xfrd</t>
  </si>
  <si>
    <t>n/a</t>
  </si>
  <si>
    <t>Row Labels</t>
  </si>
  <si>
    <t>Sum of Total Number of Approvers</t>
  </si>
  <si>
    <t>Sum of Approvers Up to Date on Training</t>
  </si>
  <si>
    <t>Exec VP for Medical Affairs Shared Services</t>
  </si>
  <si>
    <t>Please Use Drop Down Menu to Select Unit Below</t>
  </si>
  <si>
    <t>Internal Controls Year Over Year Metrics and Trends</t>
  </si>
  <si>
    <t>5 Year ScoreCard</t>
  </si>
  <si>
    <t>Use Buttons Below to Select Which Report to Review</t>
  </si>
  <si>
    <t>Year Over Year Metrics and Trends</t>
  </si>
  <si>
    <t>This report shows year over year changes as well as a 5 year trend line for various Internal Control topics</t>
  </si>
  <si>
    <t>This report shows Certification Responses, 5 years worth of data, and red/yellow/green coding for various Internal Control topics</t>
  </si>
  <si>
    <t>• Total number of In-Service Assets</t>
  </si>
  <si>
    <t>Assets counted by Asset ID Number, includes Asset Category Descriptions of:  Purchased Equipment, Gifts in Kind, and Grants in Kind</t>
  </si>
  <si>
    <t>Sponsored Programs includes assets fully or partially funded by funds 20000 and 25000</t>
  </si>
  <si>
    <t>• Total number of Assets with a blank custodian</t>
  </si>
  <si>
    <t>• Total number of Sponsored Programs In-Service Assets</t>
  </si>
  <si>
    <t>• Total number of Sponsored Programs Assets In-Service for 10 or more years and as a percent of total</t>
  </si>
  <si>
    <t>• Total number of Assets In-Service for 10 or more years and as a percent of total</t>
  </si>
  <si>
    <t>• Total number of Sponsored Programs Assets with a blank custodian</t>
  </si>
  <si>
    <t>Blank Custodians %</t>
  </si>
  <si>
    <t>All Funds Blank Custodians %</t>
  </si>
  <si>
    <t>Unused Metric</t>
  </si>
  <si>
    <t>Deposits $</t>
  </si>
  <si>
    <t>Cash</t>
  </si>
  <si>
    <t>Credit Card</t>
  </si>
  <si>
    <t>Sales $</t>
  </si>
  <si>
    <t>% of Total Assets</t>
  </si>
  <si>
    <t>Gift Fund Balance $</t>
  </si>
  <si>
    <t>Retro Salary Transfers &gt; 90 Days $ (in 000's)</t>
  </si>
  <si>
    <t>Deposits $ (in 000's)</t>
  </si>
  <si>
    <t>Total Retro Salary Transfers $ (in 000's)</t>
  </si>
  <si>
    <t>Gift Fund Balance $ 
(in 000's)</t>
  </si>
  <si>
    <t>Fiscal Year</t>
  </si>
  <si>
    <t>Pts</t>
  </si>
  <si>
    <t>Travel &amp; Expense</t>
  </si>
  <si>
    <t>Notes:</t>
  </si>
  <si>
    <t>Effort Certification data collection started in FY 2015</t>
  </si>
  <si>
    <t>Capital Equipment data collection started in FY 2017. However, Blank Custodian counts were not started until FY 2018.</t>
  </si>
  <si>
    <t>Reflects Metrics for processes in scope for FY 2019</t>
  </si>
  <si>
    <t>Count of Deposit Locations for FY 2017 is overstated.  There was a change in banks during the fiscal year, so there is an old and new location number for each bank.</t>
  </si>
  <si>
    <t>A. Taubman College of Arch &amp; Urban Plan</t>
  </si>
  <si>
    <t>Hospital &amp; Health Centers</t>
  </si>
  <si>
    <t>Rackham School of Graduate Studies</t>
  </si>
  <si>
    <t>Ross School of Business</t>
  </si>
  <si>
    <t>School of Music, Theatre and Dance</t>
  </si>
  <si>
    <t>Shared Services Center</t>
  </si>
  <si>
    <t>A. Taubman College of Arch. and Urban Plan.</t>
  </si>
  <si>
    <t>Certifying Units/Areas Totals</t>
  </si>
  <si>
    <t>A Taubman College of Architecture &amp; Urban Planning</t>
  </si>
  <si>
    <t>EVPMA Shared Services</t>
  </si>
  <si>
    <t>Total After PG End Date</t>
  </si>
  <si>
    <t>Certifying Units</t>
  </si>
  <si>
    <t>Institute for Continuing Legal Education</t>
  </si>
  <si>
    <t>Executive Vice President for Medical Affairs</t>
  </si>
  <si>
    <t>Investment Office</t>
  </si>
  <si>
    <t>A Taubman College of Architecture and Urban Planning</t>
  </si>
  <si>
    <t>Information &amp; Technology Services</t>
  </si>
  <si>
    <t>Executive VP for Medical Affairs</t>
  </si>
  <si>
    <t>In Service Assets</t>
  </si>
  <si>
    <t>In Service for 10 or more Years</t>
  </si>
  <si>
    <t>Average Years In Service</t>
  </si>
  <si>
    <t>Blank Custodians</t>
  </si>
  <si>
    <t>% of SP Assets</t>
  </si>
  <si>
    <t>University of Michigan - Dearborn</t>
  </si>
  <si>
    <t>University of Michigan - Flint</t>
  </si>
  <si>
    <t>SP Funds</t>
  </si>
  <si>
    <t># of Open P-Cards</t>
  </si>
  <si>
    <t># of P-Cards open for at least 6 months*</t>
  </si>
  <si>
    <t># of Underutilized P-Cards**</t>
  </si>
  <si>
    <t>Underutilized as % of Total</t>
  </si>
  <si>
    <t># of P-Cards with No Activity***</t>
  </si>
  <si>
    <t>P-Cards with No Activity as % of Total</t>
  </si>
  <si>
    <t>Cetifying Units/Areas Totals</t>
  </si>
  <si>
    <t>Total Dollars Transferred</t>
  </si>
  <si>
    <t>Total % 
of Dollars Xfrd</t>
  </si>
  <si>
    <t>&gt; 90 Days</t>
  </si>
  <si>
    <t>% of Total Dollars
Xfrd &gt; 90 days</t>
  </si>
  <si>
    <t>A. Taubman College of Architecture &amp; Urban Plan</t>
  </si>
  <si>
    <t>Division of Public Safety and Security</t>
  </si>
  <si>
    <t>Count of Depositors and how many were up to date on training data was not collected for FY 2016</t>
  </si>
  <si>
    <t>Count of Concur Approvers and how many were up to date on training data was not collected for FY 2016</t>
  </si>
  <si>
    <t>• Based on spending from 7/1/2015 - 06/30/2019</t>
  </si>
  <si>
    <t>• Approvers up to date on training as a percentage of number of final expense approvers (limited to Certifying 
   Unit's Appointing DeptIDs) as of August 07, 2019</t>
  </si>
  <si>
    <t>• FY2015 through FY2019 (06/30/2019) data</t>
  </si>
  <si>
    <t>• FY2015 through FY2019 (06/30/2019) data as of July 11, 2019</t>
  </si>
  <si>
    <t>• FY2014 through FY2019 (06/30/2019) data</t>
  </si>
  <si>
    <t>• Number of unique depositors up to date on training as a percentage of number of total depositors, as of 
  August 06, 2019</t>
  </si>
  <si>
    <t>• Authorized users up to date on training as a percentage of number of total authorized users, as of 
 August 06, 2019</t>
  </si>
  <si>
    <t>• Based on gift balance FY2016 through FY2019 (06/30/2019) data</t>
  </si>
  <si>
    <t>• AY2015 through AY2019 (06/30/2019) data, as of July 18,2019</t>
  </si>
  <si>
    <t>• FY2015 through FY2019 (06/30/2019) data, as of August 21, 2019</t>
  </si>
  <si>
    <t>• FY2017 through FY2019 (06/30/2019) data, as of July 11,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</si>
</sst>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quot;$&quot;#,##0"/>
    <numFmt numFmtId="167" formatCode="&quot;$&quot;#,##0.0"/>
    <numFmt numFmtId="168" formatCode="&quot;$&quot;#,##0.0_);\(&quot;$&quot;#,##0.0\)"/>
    <numFmt numFmtId="169" formatCode="&quot;$&quot;#,##0.00"/>
    <numFmt numFmtId="170" formatCode="0.0"/>
    <numFmt numFmtId="171" formatCode="#,##0.0_);\(#,##0.0\)"/>
  </numFmts>
  <fonts count="72"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0"/>
      <name val="Arial"/>
      <family val="2"/>
    </font>
    <font>
      <sz val="11"/>
      <color indexed="8"/>
      <name val="Calibri"/>
      <family val="2"/>
      <scheme val="minor"/>
    </font>
    <font>
      <b/>
      <sz val="11"/>
      <color theme="1"/>
      <name val="Calibri"/>
      <family val="2"/>
      <scheme val="minor"/>
    </font>
    <font>
      <b/>
      <u/>
      <sz val="12"/>
      <color theme="1"/>
      <name val="Calibri"/>
      <family val="2"/>
      <scheme val="minor"/>
    </font>
    <font>
      <u/>
      <sz val="11"/>
      <color theme="1"/>
      <name val="Calibri"/>
      <family val="2"/>
      <scheme val="minor"/>
    </font>
    <font>
      <u/>
      <sz val="12"/>
      <color theme="1"/>
      <name val="Calibri"/>
      <family val="2"/>
      <scheme val="minor"/>
    </font>
    <font>
      <b/>
      <sz val="11"/>
      <color rgb="FFFF0000"/>
      <name val="Calibri"/>
      <family val="2"/>
      <scheme val="minor"/>
    </font>
    <font>
      <sz val="10"/>
      <color rgb="FF000000"/>
      <name val="Arial"/>
      <family val="2"/>
    </font>
    <font>
      <b/>
      <u/>
      <sz val="16"/>
      <color theme="1"/>
      <name val="Calibri"/>
      <family val="2"/>
      <scheme val="minor"/>
    </font>
    <font>
      <b/>
      <u/>
      <sz val="11"/>
      <color theme="1"/>
      <name val="Calibri"/>
      <family val="2"/>
      <scheme val="minor"/>
    </font>
    <font>
      <sz val="10"/>
      <color rgb="FFCC0000"/>
      <name val="Arial"/>
      <family val="2"/>
    </font>
    <font>
      <sz val="11"/>
      <name val="Calibri"/>
      <family val="2"/>
      <scheme val="minor"/>
    </font>
    <font>
      <sz val="10"/>
      <color rgb="FFD6A300"/>
      <name val="Arial"/>
      <family val="2"/>
    </font>
    <font>
      <sz val="10"/>
      <color rgb="FF008000"/>
      <name val="Arial"/>
      <family val="2"/>
    </font>
    <font>
      <sz val="12"/>
      <color theme="1"/>
      <name val="Calibri"/>
      <family val="2"/>
      <scheme val="minor"/>
    </font>
    <font>
      <sz val="11"/>
      <color rgb="FFFF0000"/>
      <name val="Calibri"/>
      <family val="2"/>
      <scheme val="minor"/>
    </font>
    <font>
      <b/>
      <sz val="11"/>
      <color rgb="FF000000"/>
      <name val="Calibri"/>
      <family val="2"/>
      <scheme val="minor"/>
    </font>
    <font>
      <b/>
      <sz val="11"/>
      <name val="Calibri"/>
      <family val="2"/>
      <scheme val="minor"/>
    </font>
    <font>
      <b/>
      <i/>
      <sz val="10"/>
      <name val="Arial"/>
      <family val="2"/>
    </font>
    <font>
      <sz val="10"/>
      <color rgb="FF000000"/>
      <name val="Arial"/>
      <family val="2"/>
    </font>
    <font>
      <sz val="10"/>
      <color rgb="FF000000"/>
      <name val="Arial"/>
      <family val="2"/>
    </font>
    <font>
      <sz val="10"/>
      <color rgb="FF000000"/>
      <name val="Arial"/>
      <family val="2"/>
    </font>
    <font>
      <b/>
      <u/>
      <sz val="14"/>
      <color theme="1"/>
      <name val="Calibri"/>
      <family val="2"/>
      <scheme val="minor"/>
    </font>
    <font>
      <b/>
      <sz val="14"/>
      <color theme="1"/>
      <name val="Calibri"/>
      <family val="2"/>
      <scheme val="minor"/>
    </font>
    <font>
      <b/>
      <sz val="12"/>
      <color theme="1"/>
      <name val="Calibri"/>
      <family val="2"/>
      <scheme val="minor"/>
    </font>
    <font>
      <b/>
      <sz val="24"/>
      <color rgb="FFFF0000"/>
      <name val="Calibri"/>
      <family val="2"/>
      <scheme val="minor"/>
    </font>
    <font>
      <b/>
      <i/>
      <sz val="14"/>
      <color theme="1"/>
      <name val="Calibri"/>
      <family val="2"/>
      <scheme val="minor"/>
    </font>
    <font>
      <b/>
      <sz val="12"/>
      <color theme="1"/>
      <name val="Calibri"/>
      <family val="2"/>
    </font>
    <font>
      <b/>
      <sz val="11"/>
      <color theme="0"/>
      <name val="Calibri"/>
      <family val="2"/>
      <scheme val="minor"/>
    </font>
    <font>
      <sz val="24"/>
      <color theme="4" tint="-0.499984740745262"/>
      <name val="Cambria"/>
      <family val="2"/>
      <scheme val="major"/>
    </font>
    <font>
      <sz val="11"/>
      <color theme="1" tint="0.34998626667073579"/>
      <name val="Cambria"/>
      <family val="2"/>
      <scheme val="major"/>
    </font>
    <font>
      <sz val="14"/>
      <color theme="3" tint="0.34998626667073579"/>
      <name val="Calibri"/>
      <family val="2"/>
      <scheme val="minor"/>
    </font>
    <font>
      <i/>
      <sz val="11"/>
      <color theme="4" tint="-0.499984740745262"/>
      <name val="Calibri"/>
      <family val="2"/>
      <scheme val="minor"/>
    </font>
    <font>
      <sz val="14"/>
      <color theme="1" tint="0.34998626667073579"/>
      <name val="Cambria"/>
      <family val="2"/>
      <scheme val="major"/>
    </font>
    <font>
      <sz val="20"/>
      <color theme="1" tint="0.34998626667073579"/>
      <name val="Calibri"/>
      <family val="2"/>
      <scheme val="minor"/>
    </font>
    <font>
      <sz val="18"/>
      <color theme="1" tint="0.34998626667073579"/>
      <name val="Calibri"/>
      <family val="2"/>
      <scheme val="minor"/>
    </font>
    <font>
      <sz val="12"/>
      <color theme="1" tint="0.34998626667073579"/>
      <name val="Calibri"/>
      <family val="2"/>
      <scheme val="minor"/>
    </font>
    <font>
      <sz val="11"/>
      <color theme="1"/>
      <name val="Calibri"/>
      <family val="2"/>
      <scheme val="minor"/>
    </font>
    <font>
      <b/>
      <sz val="14"/>
      <color theme="1"/>
      <name val="Calibri"/>
      <family val="2"/>
      <scheme val="minor"/>
    </font>
    <font>
      <sz val="24"/>
      <color rgb="FF0070C0"/>
      <name val="Arial"/>
      <family val="2"/>
    </font>
    <font>
      <sz val="11"/>
      <color theme="1" tint="0.34998626667073579"/>
      <name val="Arial"/>
      <family val="2"/>
    </font>
    <font>
      <sz val="20"/>
      <color theme="1" tint="0.34998626667073579"/>
      <name val="Arial"/>
      <family val="2"/>
    </font>
    <font>
      <b/>
      <sz val="11"/>
      <color theme="0"/>
      <name val="Arial"/>
      <family val="2"/>
    </font>
    <font>
      <b/>
      <sz val="18"/>
      <name val="Arial"/>
      <family val="2"/>
    </font>
    <font>
      <sz val="14"/>
      <color theme="1" tint="0.34998626667073579"/>
      <name val="Arial"/>
      <family val="2"/>
    </font>
    <font>
      <sz val="12"/>
      <color theme="1" tint="0.34998626667073579"/>
      <name val="Arial"/>
      <family val="2"/>
    </font>
    <font>
      <sz val="14"/>
      <color theme="0" tint="-0.34998626667073579"/>
      <name val="Arial"/>
      <family val="2"/>
    </font>
    <font>
      <sz val="11"/>
      <color theme="1"/>
      <name val="Arial"/>
      <family val="2"/>
    </font>
    <font>
      <b/>
      <sz val="24"/>
      <name val="Arial"/>
      <family val="2"/>
    </font>
    <font>
      <sz val="24"/>
      <color theme="4" tint="-0.499984740745262"/>
      <name val="Arial"/>
      <family val="2"/>
    </font>
    <font>
      <sz val="14"/>
      <color theme="3" tint="0.34998626667073579"/>
      <name val="Arial"/>
      <family val="2"/>
    </font>
    <font>
      <b/>
      <i/>
      <sz val="12"/>
      <color rgb="FFFF0000"/>
      <name val="Arial"/>
      <family val="2"/>
    </font>
    <font>
      <i/>
      <sz val="11"/>
      <color theme="4" tint="-0.499984740745262"/>
      <name val="Arial"/>
      <family val="2"/>
    </font>
    <font>
      <sz val="11"/>
      <color theme="1" tint="0.499984740745262"/>
      <name val="Arial"/>
      <family val="2"/>
    </font>
    <font>
      <sz val="11"/>
      <color theme="4" tint="-0.249977111117893"/>
      <name val="Arial"/>
      <family val="2"/>
    </font>
    <font>
      <u/>
      <sz val="11"/>
      <color theme="1" tint="0.34998626667073579"/>
      <name val="Arial"/>
      <family val="2"/>
    </font>
    <font>
      <b/>
      <sz val="11"/>
      <color rgb="FFFF0000"/>
      <name val="Arial"/>
      <family val="2"/>
    </font>
    <font>
      <b/>
      <sz val="12"/>
      <name val="Arial"/>
      <family val="2"/>
    </font>
    <font>
      <b/>
      <sz val="10"/>
      <color theme="1"/>
      <name val="Arial"/>
      <family val="2"/>
    </font>
    <font>
      <b/>
      <u/>
      <sz val="18"/>
      <color theme="1"/>
      <name val="Calibri"/>
      <family val="2"/>
      <scheme val="minor"/>
    </font>
    <font>
      <b/>
      <sz val="18"/>
      <color theme="1"/>
      <name val="Calibri"/>
      <family val="2"/>
      <scheme val="minor"/>
    </font>
    <font>
      <b/>
      <i/>
      <sz val="18"/>
      <name val="Calibri"/>
      <family val="2"/>
      <scheme val="minor"/>
    </font>
    <font>
      <sz val="11"/>
      <color rgb="FFFFFF00"/>
      <name val="Arial"/>
      <family val="2"/>
    </font>
    <font>
      <b/>
      <sz val="12"/>
      <color theme="0"/>
      <name val="Arial"/>
      <family val="2"/>
    </font>
    <font>
      <b/>
      <sz val="12"/>
      <color theme="1"/>
      <name val="Arial"/>
      <family val="2"/>
    </font>
    <font>
      <sz val="18"/>
      <name val="Arial"/>
      <family val="2"/>
    </font>
    <font>
      <sz val="11"/>
      <name val="Arial"/>
      <family val="2"/>
    </font>
    <font>
      <b/>
      <sz val="11"/>
      <name val="Arial"/>
      <family val="2"/>
    </font>
  </fonts>
  <fills count="21">
    <fill>
      <patternFill patternType="none"/>
    </fill>
    <fill>
      <patternFill patternType="gray125"/>
    </fill>
    <fill>
      <patternFill patternType="solid">
        <fgColor rgb="FFFFFF00"/>
        <bgColor indexed="64"/>
      </patternFill>
    </fill>
    <fill>
      <patternFill patternType="solid">
        <fgColor rgb="FFFFFFFF"/>
        <bgColor rgb="FFFFFFFF"/>
      </patternFill>
    </fill>
    <fill>
      <patternFill patternType="solid">
        <fgColor theme="3" tint="0.79998168889431442"/>
        <bgColor indexed="64"/>
      </patternFill>
    </fill>
    <fill>
      <patternFill patternType="solid">
        <fgColor rgb="FFFFC00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CC"/>
        <bgColor indexed="64"/>
      </patternFill>
    </fill>
    <fill>
      <patternFill patternType="solid">
        <fgColor theme="4" tint="-0.499984740745262"/>
        <bgColor indexed="64"/>
      </patternFill>
    </fill>
    <fill>
      <patternFill patternType="solid">
        <fgColor rgb="FF0070C0"/>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rgb="FFFF0000"/>
        <bgColor indexed="64"/>
      </patternFill>
    </fill>
  </fills>
  <borders count="58">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right/>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auto="1"/>
      </left>
      <right/>
      <top/>
      <bottom/>
      <diagonal/>
    </border>
    <border>
      <left/>
      <right style="dashed">
        <color auto="1"/>
      </right>
      <top/>
      <bottom/>
      <diagonal/>
    </border>
    <border>
      <left style="medium">
        <color auto="1"/>
      </left>
      <right style="medium">
        <color auto="1"/>
      </right>
      <top style="medium">
        <color auto="1"/>
      </top>
      <bottom style="medium">
        <color auto="1"/>
      </bottom>
      <diagonal/>
    </border>
    <border>
      <left/>
      <right/>
      <top/>
      <bottom style="thin">
        <color theme="0" tint="-0.14996795556505021"/>
      </bottom>
      <diagonal/>
    </border>
    <border>
      <left/>
      <right/>
      <top style="thin">
        <color theme="0" tint="-0.14996795556505021"/>
      </top>
      <bottom/>
      <diagonal/>
    </border>
    <border>
      <left/>
      <right/>
      <top style="thin">
        <color theme="0" tint="-0.14996795556505021"/>
      </top>
      <bottom style="thin">
        <color theme="0" tint="-0.14996795556505021"/>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top style="medium">
        <color theme="0" tint="-0.34998626667073579"/>
      </top>
      <bottom/>
      <diagonal/>
    </border>
    <border>
      <left/>
      <right/>
      <top style="medium">
        <color theme="1" tint="0.34998626667073579"/>
      </top>
      <bottom style="medium">
        <color theme="4" tint="-0.499984740745262"/>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right/>
      <top/>
      <bottom style="dashed">
        <color theme="1" tint="0.34998626667073579"/>
      </bottom>
      <diagonal/>
    </border>
    <border>
      <left style="medium">
        <color theme="1" tint="0.34998626667073579"/>
      </left>
      <right style="medium">
        <color theme="1" tint="0.34998626667073579"/>
      </right>
      <top/>
      <bottom style="dashed">
        <color theme="1" tint="0.34998626667073579"/>
      </bottom>
      <diagonal/>
    </border>
    <border>
      <left/>
      <right style="medium">
        <color theme="1" tint="0.34998626667073579"/>
      </right>
      <top/>
      <bottom/>
      <diagonal/>
    </border>
    <border>
      <left style="medium">
        <color theme="1" tint="0.34998626667073579"/>
      </left>
      <right/>
      <top/>
      <bottom style="dashed">
        <color theme="1" tint="0.34998626667073579"/>
      </bottom>
      <diagonal/>
    </border>
    <border>
      <left/>
      <right style="medium">
        <color theme="1" tint="0.34998626667073579"/>
      </right>
      <top/>
      <bottom style="dashed">
        <color theme="1" tint="0.34998626667073579"/>
      </bottom>
      <diagonal/>
    </border>
    <border>
      <left style="medium">
        <color theme="1" tint="0.34998626667073579"/>
      </left>
      <right style="medium">
        <color theme="1" tint="0.34998626667073579"/>
      </right>
      <top style="dashed">
        <color theme="1" tint="0.34998626667073579"/>
      </top>
      <bottom/>
      <diagonal/>
    </border>
    <border>
      <left style="medium">
        <color theme="1" tint="0.34998626667073579"/>
      </left>
      <right/>
      <top style="dashed">
        <color theme="1" tint="0.34998626667073579"/>
      </top>
      <bottom/>
      <diagonal/>
    </border>
    <border>
      <left/>
      <right/>
      <top style="dashed">
        <color theme="1" tint="0.34998626667073579"/>
      </top>
      <bottom/>
      <diagonal/>
    </border>
    <border>
      <left/>
      <right style="medium">
        <color theme="1" tint="0.34998626667073579"/>
      </right>
      <top style="dashed">
        <color theme="1" tint="0.34998626667073579"/>
      </top>
      <bottom/>
      <diagonal/>
    </border>
    <border>
      <left style="medium">
        <color theme="1" tint="0.34998626667073579"/>
      </left>
      <right style="medium">
        <color theme="1" tint="0.34998626667073579"/>
      </right>
      <top/>
      <bottom/>
      <diagonal/>
    </border>
    <border>
      <left style="medium">
        <color theme="1" tint="0.34998626667073579"/>
      </left>
      <right/>
      <top/>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top/>
      <bottom style="medium">
        <color theme="1" tint="0.34998626667073579"/>
      </bottom>
      <diagonal/>
    </border>
    <border>
      <left/>
      <right style="medium">
        <color theme="1" tint="0.34998626667073579"/>
      </right>
      <top/>
      <bottom style="medium">
        <color theme="1" tint="0.34998626667073579"/>
      </bottom>
      <diagonal/>
    </border>
    <border>
      <left/>
      <right/>
      <top style="medium">
        <color theme="1" tint="0.34998626667073579"/>
      </top>
      <bottom style="thin">
        <color theme="0" tint="-0.14996795556505021"/>
      </bottom>
      <diagonal/>
    </border>
    <border>
      <left/>
      <right/>
      <top style="thin">
        <color theme="0" tint="-0.14996795556505021"/>
      </top>
      <bottom style="thin">
        <color theme="1" tint="0.34998626667073579"/>
      </bottom>
      <diagonal/>
    </border>
    <border>
      <left/>
      <right/>
      <top style="thin">
        <color theme="0" tint="-0.14993743705557422"/>
      </top>
      <bottom style="thin">
        <color theme="0" tint="-0.14993743705557422"/>
      </bottom>
      <diagonal/>
    </border>
    <border>
      <left/>
      <right/>
      <top style="thin">
        <color theme="0" tint="-0.14996795556505021"/>
      </top>
      <bottom style="thin">
        <color theme="0" tint="-0.14993743705557422"/>
      </bottom>
      <diagonal/>
    </border>
    <border>
      <left/>
      <right/>
      <top/>
      <bottom style="thin">
        <color theme="0" tint="-0.14993743705557422"/>
      </bottom>
      <diagonal/>
    </border>
    <border>
      <left/>
      <right/>
      <top/>
      <bottom style="thin">
        <color theme="4" tint="0.39997558519241921"/>
      </bottom>
      <diagonal/>
    </border>
    <border>
      <left style="medium">
        <color auto="1"/>
      </left>
      <right/>
      <top/>
      <bottom style="dashed">
        <color auto="1"/>
      </bottom>
      <diagonal/>
    </border>
    <border>
      <left/>
      <right style="medium">
        <color auto="1"/>
      </right>
      <top/>
      <bottom style="dash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2">
    <xf numFmtId="0" fontId="0" fillId="0" borderId="0"/>
    <xf numFmtId="0" fontId="2" fillId="0" borderId="0"/>
    <xf numFmtId="0" fontId="3" fillId="0" borderId="0"/>
    <xf numFmtId="0" fontId="1"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4" fillId="0" borderId="0"/>
    <xf numFmtId="9" fontId="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43" fontId="5" fillId="0" borderId="0" applyFont="0" applyFill="0" applyBorder="0" applyAlignment="0" applyProtection="0"/>
    <xf numFmtId="0" fontId="3" fillId="0" borderId="0"/>
    <xf numFmtId="44"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2" fillId="0" borderId="0"/>
    <xf numFmtId="0" fontId="3" fillId="0" borderId="0"/>
    <xf numFmtId="0" fontId="2"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11" fillId="0" borderId="0"/>
    <xf numFmtId="43" fontId="2" fillId="0" borderId="0" applyFont="0" applyFill="0" applyBorder="0" applyAlignment="0" applyProtection="0"/>
    <xf numFmtId="0" fontId="1" fillId="0" borderId="0"/>
    <xf numFmtId="9" fontId="3" fillId="0" borderId="0" applyFont="0" applyFill="0" applyBorder="0" applyAlignment="0" applyProtection="0"/>
    <xf numFmtId="9" fontId="1" fillId="0" borderId="0" applyFont="0" applyFill="0" applyBorder="0" applyAlignment="0" applyProtection="0"/>
    <xf numFmtId="0" fontId="1" fillId="0" borderId="0"/>
    <xf numFmtId="43" fontId="22" fillId="0" borderId="0" applyFont="0" applyFill="0" applyBorder="0" applyAlignment="0" applyProtection="0"/>
    <xf numFmtId="0" fontId="3" fillId="0" borderId="0"/>
    <xf numFmtId="0" fontId="2" fillId="0" borderId="0"/>
    <xf numFmtId="0" fontId="3" fillId="0" borderId="0"/>
    <xf numFmtId="0" fontId="23" fillId="0" borderId="0"/>
    <xf numFmtId="43" fontId="2" fillId="0" borderId="0" applyFont="0" applyFill="0" applyBorder="0" applyAlignment="0" applyProtection="0"/>
    <xf numFmtId="0" fontId="24" fillId="0" borderId="0"/>
    <xf numFmtId="0" fontId="25" fillId="0" borderId="0"/>
    <xf numFmtId="0" fontId="5" fillId="0" borderId="0"/>
    <xf numFmtId="0" fontId="25" fillId="0" borderId="0"/>
    <xf numFmtId="0" fontId="33" fillId="0" borderId="0" applyNumberFormat="0" applyFill="0" applyBorder="0" applyAlignment="0" applyProtection="0"/>
    <xf numFmtId="0" fontId="34" fillId="0" borderId="0" applyFill="0" applyBorder="0">
      <alignment vertical="center" wrapText="1"/>
    </xf>
    <xf numFmtId="0" fontId="35" fillId="0" borderId="0" applyNumberFormat="0" applyFill="0" applyBorder="0" applyAlignment="0" applyProtection="0"/>
    <xf numFmtId="0" fontId="36" fillId="0" borderId="0" applyNumberFormat="0" applyFill="0" applyBorder="0" applyAlignment="0" applyProtection="0">
      <alignment vertical="center"/>
    </xf>
    <xf numFmtId="0" fontId="37" fillId="0" borderId="25" applyNumberFormat="0" applyFill="0" applyProtection="0">
      <alignment vertical="center"/>
    </xf>
    <xf numFmtId="0" fontId="39" fillId="0" borderId="0" applyNumberFormat="0" applyFill="0" applyBorder="0" applyAlignment="0" applyProtection="0"/>
    <xf numFmtId="0" fontId="32" fillId="16" borderId="0">
      <alignment horizontal="center" vertical="center"/>
    </xf>
    <xf numFmtId="5" fontId="38" fillId="0" borderId="33">
      <alignment horizontal="center" vertical="center"/>
    </xf>
    <xf numFmtId="9" fontId="40" fillId="0" borderId="0">
      <alignment horizontal="left" vertical="center" indent="1"/>
    </xf>
    <xf numFmtId="43" fontId="1" fillId="0" borderId="0" applyFont="0" applyFill="0" applyBorder="0" applyAlignment="0" applyProtection="0"/>
    <xf numFmtId="44" fontId="3" fillId="0" borderId="0" applyFont="0" applyFill="0" applyBorder="0" applyAlignment="0" applyProtection="0"/>
  </cellStyleXfs>
  <cellXfs count="429">
    <xf numFmtId="0" fontId="0" fillId="0" borderId="0" xfId="0"/>
    <xf numFmtId="0" fontId="0" fillId="0" borderId="0" xfId="0" applyFont="1" applyFill="1"/>
    <xf numFmtId="0" fontId="0" fillId="0" borderId="0" xfId="0" applyBorder="1"/>
    <xf numFmtId="0" fontId="0" fillId="0" borderId="0" xfId="0" applyFill="1" applyBorder="1" applyAlignment="1">
      <alignment horizontal="right"/>
    </xf>
    <xf numFmtId="0" fontId="0" fillId="0" borderId="0" xfId="0" applyFill="1" applyBorder="1"/>
    <xf numFmtId="0" fontId="0" fillId="0" borderId="0" xfId="0" applyFill="1"/>
    <xf numFmtId="0" fontId="0" fillId="0" borderId="0" xfId="0" applyAlignment="1">
      <alignment horizontal="center" wrapText="1"/>
    </xf>
    <xf numFmtId="0" fontId="0" fillId="0" borderId="0" xfId="0" applyFont="1" applyFill="1" applyBorder="1" applyAlignment="1">
      <alignment horizontal="center" wrapText="1"/>
    </xf>
    <xf numFmtId="0" fontId="0" fillId="0" borderId="8" xfId="0" applyBorder="1" applyAlignment="1">
      <alignment horizontal="left"/>
    </xf>
    <xf numFmtId="164" fontId="14" fillId="0" borderId="0" xfId="0" applyNumberFormat="1" applyFont="1" applyFill="1" applyBorder="1" applyAlignment="1">
      <alignment horizontal="center"/>
    </xf>
    <xf numFmtId="164" fontId="16"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13" fillId="0" borderId="0" xfId="0" applyFont="1" applyFill="1" applyBorder="1" applyAlignment="1"/>
    <xf numFmtId="0" fontId="15" fillId="0" borderId="0" xfId="2" applyFont="1" applyFill="1" applyBorder="1" applyAlignment="1">
      <alignment horizontal="left"/>
    </xf>
    <xf numFmtId="0" fontId="15" fillId="0" borderId="0" xfId="13" applyFont="1" applyFill="1" applyAlignment="1">
      <alignment horizontal="center"/>
    </xf>
    <xf numFmtId="0" fontId="0" fillId="0" borderId="0" xfId="0" applyBorder="1" applyAlignment="1">
      <alignment horizontal="left" wrapText="1"/>
    </xf>
    <xf numFmtId="0" fontId="6" fillId="0" borderId="0" xfId="0" applyFont="1"/>
    <xf numFmtId="0" fontId="0" fillId="0" borderId="0" xfId="0" applyFont="1"/>
    <xf numFmtId="165" fontId="0" fillId="0" borderId="0" xfId="36" applyNumberFormat="1" applyFont="1"/>
    <xf numFmtId="0" fontId="0" fillId="0" borderId="0" xfId="0" applyBorder="1" applyAlignment="1">
      <alignment horizontal="right"/>
    </xf>
    <xf numFmtId="0" fontId="0" fillId="0" borderId="0" xfId="0" applyFill="1" applyBorder="1" applyAlignment="1">
      <alignment horizontal="left"/>
    </xf>
    <xf numFmtId="0" fontId="15" fillId="0" borderId="0" xfId="0" applyFont="1" applyFill="1" applyBorder="1" applyAlignment="1">
      <alignment horizontal="left"/>
    </xf>
    <xf numFmtId="0" fontId="13" fillId="0" borderId="0" xfId="0" applyFont="1" applyFill="1" applyBorder="1" applyAlignment="1">
      <alignment horizontal="left"/>
    </xf>
    <xf numFmtId="0" fontId="0" fillId="0" borderId="0" xfId="0" applyFill="1" applyBorder="1" applyAlignment="1">
      <alignment horizontal="left" vertical="top"/>
    </xf>
    <xf numFmtId="0" fontId="0" fillId="0" borderId="0" xfId="0" applyFill="1" applyBorder="1" applyAlignment="1">
      <alignment horizontal="left" wrapText="1"/>
    </xf>
    <xf numFmtId="0" fontId="15" fillId="0" borderId="0" xfId="0" applyFont="1" applyFill="1" applyBorder="1" applyAlignment="1">
      <alignment horizontal="left" wrapText="1"/>
    </xf>
    <xf numFmtId="0" fontId="6" fillId="0" borderId="0" xfId="0" applyFont="1" applyAlignment="1">
      <alignment horizontal="right"/>
    </xf>
    <xf numFmtId="164" fontId="0" fillId="0" borderId="0" xfId="12" applyNumberFormat="1" applyFont="1" applyAlignment="1">
      <alignment horizontal="center"/>
    </xf>
    <xf numFmtId="164" fontId="6" fillId="0" borderId="2" xfId="12" applyNumberFormat="1" applyFont="1" applyBorder="1" applyAlignment="1">
      <alignment horizontal="center"/>
    </xf>
    <xf numFmtId="3" fontId="6" fillId="0" borderId="2" xfId="0" applyNumberFormat="1" applyFont="1" applyBorder="1" applyAlignment="1">
      <alignment horizontal="center"/>
    </xf>
    <xf numFmtId="0" fontId="6" fillId="0" borderId="0" xfId="0" applyFont="1" applyAlignment="1">
      <alignment horizontal="center"/>
    </xf>
    <xf numFmtId="0" fontId="6" fillId="5" borderId="0" xfId="0" applyFont="1" applyFill="1" applyAlignment="1">
      <alignment horizontal="center"/>
    </xf>
    <xf numFmtId="0" fontId="6" fillId="5" borderId="0" xfId="0" applyFont="1" applyFill="1" applyAlignment="1">
      <alignment horizontal="left"/>
    </xf>
    <xf numFmtId="0" fontId="6" fillId="7" borderId="0" xfId="0" applyFont="1" applyFill="1"/>
    <xf numFmtId="0" fontId="0" fillId="0" borderId="0" xfId="0" applyFont="1" applyAlignment="1">
      <alignment horizontal="center"/>
    </xf>
    <xf numFmtId="164" fontId="0" fillId="0" borderId="0" xfId="0" applyNumberFormat="1" applyFont="1"/>
    <xf numFmtId="41" fontId="15" fillId="0" borderId="0" xfId="2" applyNumberFormat="1" applyFont="1" applyFill="1" applyAlignment="1">
      <alignment horizontal="right"/>
    </xf>
    <xf numFmtId="41" fontId="21" fillId="0" borderId="2" xfId="2" applyNumberFormat="1" applyFont="1" applyFill="1" applyBorder="1" applyAlignment="1">
      <alignment horizontal="right"/>
    </xf>
    <xf numFmtId="41" fontId="10" fillId="0" borderId="0" xfId="2" applyNumberFormat="1" applyFont="1" applyFill="1" applyAlignment="1">
      <alignment horizontal="right"/>
    </xf>
    <xf numFmtId="0" fontId="6" fillId="0" borderId="0" xfId="0" applyFont="1" applyFill="1"/>
    <xf numFmtId="0" fontId="6" fillId="6" borderId="0" xfId="0" applyFont="1" applyFill="1"/>
    <xf numFmtId="49" fontId="20" fillId="3" borderId="4" xfId="21" applyNumberFormat="1" applyFont="1" applyFill="1" applyBorder="1" applyAlignment="1">
      <alignment horizontal="center" wrapText="1"/>
    </xf>
    <xf numFmtId="0" fontId="6" fillId="0" borderId="0" xfId="0" applyFont="1" applyAlignment="1">
      <alignment horizontal="center" wrapText="1"/>
    </xf>
    <xf numFmtId="0" fontId="0" fillId="0" borderId="0" xfId="0" applyFont="1" applyAlignment="1">
      <alignment wrapText="1"/>
    </xf>
    <xf numFmtId="0" fontId="6" fillId="0" borderId="0" xfId="0" applyFont="1" applyAlignment="1">
      <alignment wrapText="1"/>
    </xf>
    <xf numFmtId="0" fontId="6" fillId="0" borderId="0" xfId="0" applyFont="1" applyAlignment="1">
      <alignment horizontal="left"/>
    </xf>
    <xf numFmtId="3" fontId="0" fillId="0" borderId="0" xfId="0" applyNumberFormat="1" applyFont="1" applyAlignment="1">
      <alignment horizontal="center"/>
    </xf>
    <xf numFmtId="0" fontId="0" fillId="2" borderId="0" xfId="0" applyFont="1" applyFill="1"/>
    <xf numFmtId="0" fontId="6" fillId="2" borderId="0" xfId="0" applyFont="1" applyFill="1"/>
    <xf numFmtId="0" fontId="21" fillId="6" borderId="0" xfId="0" applyFont="1" applyFill="1"/>
    <xf numFmtId="0" fontId="15" fillId="6" borderId="0" xfId="0" applyFont="1" applyFill="1"/>
    <xf numFmtId="0" fontId="15" fillId="6" borderId="0" xfId="0" applyFont="1" applyFill="1" applyAlignment="1">
      <alignment horizontal="center"/>
    </xf>
    <xf numFmtId="0" fontId="21" fillId="2" borderId="0" xfId="0" applyFont="1" applyFill="1"/>
    <xf numFmtId="0" fontId="6" fillId="8" borderId="0" xfId="0" applyFont="1" applyFill="1"/>
    <xf numFmtId="0" fontId="21" fillId="8" borderId="0" xfId="0" applyFont="1" applyFill="1"/>
    <xf numFmtId="0" fontId="0" fillId="8" borderId="0" xfId="0" applyFont="1" applyFill="1"/>
    <xf numFmtId="0" fontId="19" fillId="2" borderId="0" xfId="13" applyFont="1" applyFill="1" applyAlignment="1">
      <alignment horizontal="center"/>
    </xf>
    <xf numFmtId="0" fontId="19" fillId="2" borderId="0" xfId="0" applyFont="1" applyFill="1" applyAlignment="1">
      <alignment horizontal="center"/>
    </xf>
    <xf numFmtId="0" fontId="0" fillId="0" borderId="0" xfId="0" applyBorder="1" applyAlignment="1">
      <alignment horizontal="center" wrapText="1"/>
    </xf>
    <xf numFmtId="0" fontId="13" fillId="0" borderId="0" xfId="0" applyFont="1" applyFill="1" applyBorder="1" applyAlignment="1">
      <alignment horizontal="left" indent="1"/>
    </xf>
    <xf numFmtId="0" fontId="0" fillId="0" borderId="0" xfId="0" applyFill="1" applyBorder="1" applyAlignment="1">
      <alignment vertical="top"/>
    </xf>
    <xf numFmtId="0" fontId="26" fillId="0" borderId="0" xfId="0" applyFont="1" applyAlignment="1">
      <alignment horizontal="center"/>
    </xf>
    <xf numFmtId="0" fontId="6" fillId="9" borderId="0" xfId="0" applyFont="1" applyFill="1"/>
    <xf numFmtId="0" fontId="15" fillId="9" borderId="0" xfId="0" applyFont="1" applyFill="1" applyAlignment="1">
      <alignment horizontal="center"/>
    </xf>
    <xf numFmtId="0" fontId="21" fillId="9" borderId="0" xfId="0" applyFont="1" applyFill="1"/>
    <xf numFmtId="0" fontId="0" fillId="0" borderId="0" xfId="0" applyBorder="1" applyAlignment="1">
      <alignment vertical="top"/>
    </xf>
    <xf numFmtId="0" fontId="13" fillId="0" borderId="0" xfId="0" applyFont="1" applyFill="1" applyBorder="1" applyAlignment="1">
      <alignment horizontal="left" vertical="top"/>
    </xf>
    <xf numFmtId="0" fontId="0" fillId="0" borderId="0" xfId="0" applyFill="1" applyBorder="1" applyAlignment="1">
      <alignment horizontal="left" vertical="top" wrapText="1"/>
    </xf>
    <xf numFmtId="0" fontId="13" fillId="0" borderId="0" xfId="0" applyFont="1" applyFill="1" applyBorder="1" applyAlignment="1">
      <alignment vertical="top"/>
    </xf>
    <xf numFmtId="0" fontId="0" fillId="0" borderId="0" xfId="0" quotePrefix="1" applyFill="1" applyBorder="1" applyAlignment="1">
      <alignment horizontal="left" vertical="top"/>
    </xf>
    <xf numFmtId="0" fontId="0" fillId="0" borderId="0" xfId="0" applyAlignment="1">
      <alignment vertical="top"/>
    </xf>
    <xf numFmtId="0" fontId="0" fillId="0" borderId="0" xfId="0" applyFill="1" applyBorder="1" applyAlignment="1">
      <alignment horizontal="left" vertical="top" wrapText="1" indent="2"/>
    </xf>
    <xf numFmtId="0" fontId="0" fillId="0" borderId="0" xfId="0" applyFill="1" applyBorder="1" applyAlignment="1">
      <alignment horizontal="left" vertical="top" indent="2"/>
    </xf>
    <xf numFmtId="0" fontId="0" fillId="0" borderId="0" xfId="0" applyBorder="1" applyAlignment="1">
      <alignment horizontal="left"/>
    </xf>
    <xf numFmtId="0" fontId="6" fillId="4" borderId="0" xfId="0" applyFont="1" applyFill="1" applyAlignment="1">
      <alignment horizontal="left"/>
    </xf>
    <xf numFmtId="0" fontId="6" fillId="4" borderId="0" xfId="0" applyFont="1" applyFill="1" applyAlignment="1">
      <alignment horizontal="center"/>
    </xf>
    <xf numFmtId="0" fontId="6" fillId="10" borderId="0" xfId="0" applyFont="1" applyFill="1"/>
    <xf numFmtId="0" fontId="6" fillId="11" borderId="0" xfId="0" applyFont="1" applyFill="1"/>
    <xf numFmtId="0" fontId="15" fillId="0" borderId="0" xfId="0" applyFont="1" applyFill="1"/>
    <xf numFmtId="0" fontId="21" fillId="10" borderId="0" xfId="0" applyFont="1" applyFill="1" applyAlignment="1">
      <alignment horizontal="left"/>
    </xf>
    <xf numFmtId="0" fontId="15" fillId="10" borderId="0" xfId="0" applyFont="1" applyFill="1" applyAlignment="1">
      <alignment horizontal="center"/>
    </xf>
    <xf numFmtId="0" fontId="21" fillId="10" borderId="0" xfId="0" applyFont="1" applyFill="1"/>
    <xf numFmtId="0" fontId="6" fillId="12" borderId="0" xfId="0" applyFont="1" applyFill="1"/>
    <xf numFmtId="0" fontId="21" fillId="12" borderId="0" xfId="0" applyFont="1" applyFill="1"/>
    <xf numFmtId="0" fontId="15" fillId="12" borderId="0" xfId="0" applyFont="1" applyFill="1" applyAlignment="1">
      <alignment horizontal="center"/>
    </xf>
    <xf numFmtId="0" fontId="6" fillId="13" borderId="0" xfId="0" applyFont="1" applyFill="1"/>
    <xf numFmtId="0" fontId="21" fillId="13" borderId="0" xfId="0" applyFont="1" applyFill="1" applyAlignment="1">
      <alignment horizontal="left"/>
    </xf>
    <xf numFmtId="0" fontId="21" fillId="13" borderId="0" xfId="0" applyFont="1" applyFill="1"/>
    <xf numFmtId="0" fontId="15" fillId="13" borderId="0" xfId="0" applyFont="1" applyFill="1" applyAlignment="1">
      <alignment horizontal="center"/>
    </xf>
    <xf numFmtId="0" fontId="0" fillId="14" borderId="0" xfId="0" applyFont="1" applyFill="1"/>
    <xf numFmtId="0" fontId="6" fillId="14" borderId="0" xfId="0" applyFont="1" applyFill="1"/>
    <xf numFmtId="0" fontId="21" fillId="14" borderId="0" xfId="0" applyFont="1" applyFill="1"/>
    <xf numFmtId="0" fontId="21" fillId="0" borderId="0" xfId="0" applyFont="1" applyFill="1" applyAlignment="1">
      <alignment horizontal="center"/>
    </xf>
    <xf numFmtId="0" fontId="21" fillId="0" borderId="0" xfId="0" applyFont="1" applyFill="1"/>
    <xf numFmtId="0" fontId="21" fillId="0" borderId="0" xfId="0" applyFont="1" applyFill="1" applyAlignment="1">
      <alignment horizontal="center" wrapText="1"/>
    </xf>
    <xf numFmtId="0" fontId="15" fillId="0" borderId="0" xfId="0" applyFont="1" applyFill="1" applyAlignment="1">
      <alignment horizontal="center"/>
    </xf>
    <xf numFmtId="3" fontId="21" fillId="0" borderId="2" xfId="0" applyNumberFormat="1" applyFont="1" applyFill="1" applyBorder="1" applyAlignment="1">
      <alignment horizontal="center"/>
    </xf>
    <xf numFmtId="0" fontId="21" fillId="5" borderId="0" xfId="0" applyFont="1" applyFill="1" applyAlignment="1">
      <alignment horizontal="center"/>
    </xf>
    <xf numFmtId="0" fontId="21" fillId="4" borderId="0" xfId="0" applyFont="1" applyFill="1" applyAlignment="1">
      <alignment horizontal="center"/>
    </xf>
    <xf numFmtId="0" fontId="21" fillId="0" borderId="0" xfId="0" applyFont="1"/>
    <xf numFmtId="0" fontId="21" fillId="0" borderId="0" xfId="0" applyFont="1" applyAlignment="1">
      <alignment horizontal="center" wrapText="1"/>
    </xf>
    <xf numFmtId="0" fontId="15" fillId="0" borderId="0" xfId="0" applyFont="1"/>
    <xf numFmtId="3" fontId="21" fillId="0" borderId="2" xfId="0" applyNumberFormat="1" applyFont="1" applyBorder="1" applyAlignment="1">
      <alignment horizontal="center"/>
    </xf>
    <xf numFmtId="0" fontId="1" fillId="0" borderId="0" xfId="13" applyFont="1" applyFill="1" applyAlignment="1">
      <alignment horizontal="center"/>
    </xf>
    <xf numFmtId="164" fontId="10" fillId="0" borderId="0" xfId="12" applyNumberFormat="1" applyFont="1" applyAlignment="1">
      <alignment horizontal="center"/>
    </xf>
    <xf numFmtId="164" fontId="10" fillId="0" borderId="2" xfId="12" applyNumberFormat="1" applyFont="1" applyBorder="1" applyAlignment="1">
      <alignment horizontal="center"/>
    </xf>
    <xf numFmtId="164" fontId="10" fillId="0" borderId="0" xfId="0" applyNumberFormat="1" applyFont="1"/>
    <xf numFmtId="0" fontId="6" fillId="5" borderId="1" xfId="0" applyFont="1" applyFill="1" applyBorder="1" applyAlignment="1">
      <alignment horizontal="center"/>
    </xf>
    <xf numFmtId="0" fontId="6" fillId="4" borderId="1" xfId="0" applyFont="1" applyFill="1" applyBorder="1" applyAlignment="1">
      <alignment horizontal="center"/>
    </xf>
    <xf numFmtId="41" fontId="1" fillId="0" borderId="0" xfId="2" applyNumberFormat="1" applyFont="1" applyFill="1" applyAlignment="1">
      <alignment horizontal="right"/>
    </xf>
    <xf numFmtId="0" fontId="9" fillId="0" borderId="0" xfId="0" applyFont="1" applyBorder="1" applyAlignment="1">
      <alignment horizontal="center"/>
    </xf>
    <xf numFmtId="0" fontId="9" fillId="0" borderId="9" xfId="0" applyFont="1" applyBorder="1" applyAlignment="1">
      <alignment horizontal="center"/>
    </xf>
    <xf numFmtId="0" fontId="6" fillId="5" borderId="1" xfId="0" applyFont="1" applyFill="1" applyBorder="1" applyAlignment="1">
      <alignment horizontal="center"/>
    </xf>
    <xf numFmtId="0" fontId="6" fillId="4" borderId="1" xfId="0" applyFont="1" applyFill="1" applyBorder="1" applyAlignment="1">
      <alignment horizontal="center"/>
    </xf>
    <xf numFmtId="41" fontId="10" fillId="2" borderId="2" xfId="2" applyNumberFormat="1" applyFont="1" applyFill="1" applyBorder="1" applyAlignment="1">
      <alignment horizontal="right"/>
    </xf>
    <xf numFmtId="41" fontId="10" fillId="2" borderId="0" xfId="2" applyNumberFormat="1" applyFont="1" applyFill="1" applyAlignment="1">
      <alignment horizontal="right"/>
    </xf>
    <xf numFmtId="0" fontId="10" fillId="2" borderId="0" xfId="0" applyFont="1" applyFill="1"/>
    <xf numFmtId="164" fontId="10" fillId="2" borderId="2" xfId="12" applyNumberFormat="1" applyFont="1" applyFill="1" applyBorder="1" applyAlignment="1">
      <alignment horizontal="center"/>
    </xf>
    <xf numFmtId="164" fontId="10" fillId="2" borderId="0" xfId="0" applyNumberFormat="1" applyFont="1" applyFill="1"/>
    <xf numFmtId="0" fontId="6" fillId="4" borderId="1" xfId="0" applyFont="1" applyFill="1" applyBorder="1" applyAlignment="1">
      <alignment horizontal="left"/>
    </xf>
    <xf numFmtId="0" fontId="6" fillId="4" borderId="3" xfId="0" applyFont="1" applyFill="1" applyBorder="1" applyAlignment="1">
      <alignment horizontal="left"/>
    </xf>
    <xf numFmtId="0" fontId="6" fillId="5" borderId="1"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center" wrapText="1"/>
    </xf>
    <xf numFmtId="0" fontId="19" fillId="0" borderId="0" xfId="13" applyFont="1" applyFill="1" applyAlignment="1">
      <alignment horizontal="center"/>
    </xf>
    <xf numFmtId="3" fontId="6" fillId="0" borderId="0" xfId="0" applyNumberFormat="1" applyFont="1" applyFill="1" applyBorder="1" applyAlignment="1">
      <alignment horizontal="center"/>
    </xf>
    <xf numFmtId="3" fontId="21" fillId="0" borderId="0" xfId="0" applyNumberFormat="1" applyFont="1" applyBorder="1" applyAlignment="1">
      <alignment horizontal="center"/>
    </xf>
    <xf numFmtId="0" fontId="10" fillId="0" borderId="0" xfId="0" applyFont="1" applyFill="1"/>
    <xf numFmtId="41" fontId="10" fillId="0" borderId="0" xfId="2" applyNumberFormat="1" applyFont="1" applyFill="1" applyBorder="1" applyAlignment="1">
      <alignment horizontal="right"/>
    </xf>
    <xf numFmtId="0" fontId="0" fillId="0" borderId="0" xfId="0" applyFont="1" applyFill="1" applyAlignment="1">
      <alignment wrapText="1"/>
    </xf>
    <xf numFmtId="3" fontId="10" fillId="2" borderId="2" xfId="0" applyNumberFormat="1" applyFont="1" applyFill="1" applyBorder="1" applyAlignment="1">
      <alignment horizontal="center"/>
    </xf>
    <xf numFmtId="0" fontId="10" fillId="2" borderId="0" xfId="0" applyFont="1" applyFill="1" applyAlignment="1">
      <alignment horizontal="center"/>
    </xf>
    <xf numFmtId="3" fontId="10" fillId="2" borderId="0" xfId="0" applyNumberFormat="1" applyFont="1" applyFill="1" applyAlignment="1">
      <alignment horizontal="center"/>
    </xf>
    <xf numFmtId="3" fontId="15" fillId="0" borderId="0" xfId="0" applyNumberFormat="1" applyFont="1" applyFill="1" applyAlignment="1">
      <alignment horizontal="center"/>
    </xf>
    <xf numFmtId="165" fontId="10" fillId="2" borderId="0" xfId="36" applyNumberFormat="1" applyFont="1" applyFill="1"/>
    <xf numFmtId="164" fontId="10" fillId="0" borderId="0" xfId="12" applyNumberFormat="1" applyFont="1" applyFill="1" applyAlignment="1">
      <alignment horizontal="center"/>
    </xf>
    <xf numFmtId="164" fontId="10" fillId="0" borderId="0" xfId="0" applyNumberFormat="1" applyFont="1" applyFill="1"/>
    <xf numFmtId="164" fontId="10" fillId="0" borderId="2" xfId="12" applyNumberFormat="1" applyFont="1" applyFill="1" applyBorder="1" applyAlignment="1">
      <alignment horizontal="center"/>
    </xf>
    <xf numFmtId="0" fontId="6" fillId="0" borderId="1" xfId="0" applyFont="1" applyBorder="1" applyAlignment="1">
      <alignment horizontal="center" wrapText="1"/>
    </xf>
    <xf numFmtId="0" fontId="18" fillId="0" borderId="0" xfId="0" applyFont="1"/>
    <xf numFmtId="0" fontId="18" fillId="0" borderId="8" xfId="0" applyFont="1" applyBorder="1"/>
    <xf numFmtId="0" fontId="31" fillId="0" borderId="8" xfId="0" quotePrefix="1" applyFont="1" applyBorder="1" applyAlignment="1">
      <alignment horizontal="left"/>
    </xf>
    <xf numFmtId="166" fontId="9" fillId="0" borderId="0" xfId="0" applyNumberFormat="1" applyFont="1" applyBorder="1" applyAlignment="1">
      <alignment horizontal="center" vertical="center"/>
    </xf>
    <xf numFmtId="0" fontId="9" fillId="0" borderId="14" xfId="0" applyFont="1" applyBorder="1" applyAlignment="1">
      <alignment horizontal="center"/>
    </xf>
    <xf numFmtId="0" fontId="18" fillId="0" borderId="8" xfId="0" applyFont="1" applyBorder="1" applyAlignment="1">
      <alignment horizontal="left" wrapText="1" indent="1"/>
    </xf>
    <xf numFmtId="3" fontId="18" fillId="0" borderId="0" xfId="0" applyNumberFormat="1" applyFont="1" applyBorder="1" applyAlignment="1">
      <alignment horizontal="center" vertical="center"/>
    </xf>
    <xf numFmtId="0" fontId="18" fillId="0" borderId="14" xfId="0" applyFont="1" applyBorder="1"/>
    <xf numFmtId="0" fontId="18" fillId="0" borderId="9" xfId="0" applyFont="1" applyBorder="1"/>
    <xf numFmtId="0" fontId="18" fillId="0" borderId="8" xfId="0" applyFont="1" applyBorder="1" applyAlignment="1">
      <alignment horizontal="left" indent="1"/>
    </xf>
    <xf numFmtId="164" fontId="28" fillId="0" borderId="14" xfId="12" applyNumberFormat="1" applyFont="1" applyBorder="1" applyAlignment="1">
      <alignment horizontal="center" vertical="center"/>
    </xf>
    <xf numFmtId="164" fontId="28" fillId="0" borderId="9" xfId="12" applyNumberFormat="1" applyFont="1" applyBorder="1" applyAlignment="1">
      <alignment horizontal="center" vertical="center"/>
    </xf>
    <xf numFmtId="0" fontId="18" fillId="0" borderId="8" xfId="0" applyFont="1" applyBorder="1" applyAlignment="1">
      <alignment horizontal="left"/>
    </xf>
    <xf numFmtId="0" fontId="18" fillId="0" borderId="0" xfId="0" applyFont="1" applyBorder="1" applyAlignment="1">
      <alignment horizontal="center" vertical="center"/>
    </xf>
    <xf numFmtId="164" fontId="18" fillId="0" borderId="14" xfId="0" applyNumberFormat="1" applyFont="1" applyBorder="1" applyAlignment="1">
      <alignment horizontal="center" vertical="center"/>
    </xf>
    <xf numFmtId="0" fontId="18" fillId="0" borderId="0" xfId="0" applyFont="1" applyBorder="1" applyAlignment="1">
      <alignment horizontal="center"/>
    </xf>
    <xf numFmtId="164" fontId="18" fillId="0" borderId="9" xfId="0" applyNumberFormat="1" applyFont="1" applyBorder="1" applyAlignment="1">
      <alignment horizontal="center" vertical="center"/>
    </xf>
    <xf numFmtId="0" fontId="28" fillId="0" borderId="8" xfId="0" applyFont="1" applyBorder="1"/>
    <xf numFmtId="166" fontId="18" fillId="0" borderId="0" xfId="11" applyNumberFormat="1" applyFont="1" applyBorder="1" applyAlignment="1">
      <alignment horizontal="center" vertical="center"/>
    </xf>
    <xf numFmtId="166" fontId="18" fillId="0" borderId="14" xfId="11" applyNumberFormat="1" applyFont="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4" xfId="0" applyNumberFormat="1" applyFont="1" applyFill="1" applyBorder="1" applyAlignment="1">
      <alignment horizontal="center" vertical="center"/>
    </xf>
    <xf numFmtId="9" fontId="18" fillId="0" borderId="0" xfId="0" applyNumberFormat="1" applyFont="1"/>
    <xf numFmtId="9" fontId="18" fillId="0" borderId="0" xfId="12" applyFont="1"/>
    <xf numFmtId="0" fontId="18" fillId="0" borderId="10" xfId="0" applyFont="1" applyBorder="1" applyAlignment="1">
      <alignment horizontal="right"/>
    </xf>
    <xf numFmtId="0" fontId="18" fillId="0" borderId="11" xfId="0" applyFont="1" applyBorder="1"/>
    <xf numFmtId="0" fontId="18" fillId="0" borderId="12" xfId="0" applyFont="1" applyBorder="1"/>
    <xf numFmtId="0" fontId="18" fillId="0" borderId="0" xfId="0" applyFont="1" applyBorder="1" applyAlignment="1">
      <alignment horizontal="right"/>
    </xf>
    <xf numFmtId="0" fontId="18" fillId="0" borderId="0" xfId="0" applyFont="1" applyBorder="1"/>
    <xf numFmtId="0" fontId="9" fillId="0" borderId="13" xfId="0" applyFont="1" applyBorder="1" applyAlignment="1">
      <alignment horizontal="center"/>
    </xf>
    <xf numFmtId="0" fontId="18" fillId="0" borderId="13" xfId="0" applyFont="1" applyBorder="1"/>
    <xf numFmtId="164" fontId="18" fillId="0" borderId="14" xfId="12" applyNumberFormat="1" applyFont="1" applyBorder="1" applyAlignment="1">
      <alignment horizontal="center" vertical="center"/>
    </xf>
    <xf numFmtId="164" fontId="18" fillId="0" borderId="9" xfId="12" applyNumberFormat="1" applyFont="1" applyBorder="1" applyAlignment="1">
      <alignment horizontal="center" vertical="center"/>
    </xf>
    <xf numFmtId="0" fontId="18" fillId="0" borderId="8" xfId="0" applyFont="1" applyBorder="1" applyAlignment="1">
      <alignment horizontal="center"/>
    </xf>
    <xf numFmtId="0" fontId="28" fillId="0" borderId="8" xfId="0" quotePrefix="1" applyFont="1" applyBorder="1" applyAlignment="1">
      <alignment horizontal="left"/>
    </xf>
    <xf numFmtId="9" fontId="18" fillId="0" borderId="14" xfId="12" applyNumberFormat="1" applyFont="1" applyBorder="1"/>
    <xf numFmtId="3" fontId="18" fillId="0" borderId="13" xfId="0" applyNumberFormat="1" applyFont="1" applyBorder="1" applyAlignment="1">
      <alignment horizontal="center" vertical="center"/>
    </xf>
    <xf numFmtId="9" fontId="18" fillId="0" borderId="9" xfId="12" applyNumberFormat="1" applyFont="1" applyBorder="1"/>
    <xf numFmtId="0" fontId="18" fillId="0" borderId="0" xfId="0" applyFont="1" applyFill="1" applyBorder="1" applyAlignment="1">
      <alignment horizontal="right" vertical="center"/>
    </xf>
    <xf numFmtId="0" fontId="18" fillId="0" borderId="14" xfId="0" applyFont="1" applyFill="1" applyBorder="1" applyAlignment="1">
      <alignment horizontal="right" vertical="center"/>
    </xf>
    <xf numFmtId="0" fontId="18" fillId="0" borderId="13" xfId="0" applyFont="1" applyFill="1" applyBorder="1" applyAlignment="1">
      <alignment horizontal="center" vertical="center"/>
    </xf>
    <xf numFmtId="0" fontId="18" fillId="0" borderId="14" xfId="0" applyFont="1" applyBorder="1" applyAlignment="1">
      <alignment horizontal="right" vertical="center"/>
    </xf>
    <xf numFmtId="9" fontId="18" fillId="0" borderId="14" xfId="12" applyFont="1" applyFill="1" applyBorder="1" applyAlignment="1">
      <alignment horizontal="center" vertical="center"/>
    </xf>
    <xf numFmtId="0" fontId="18" fillId="0" borderId="8" xfId="0" applyFont="1" applyBorder="1" applyAlignment="1">
      <alignment horizontal="left" wrapText="1" indent="2"/>
    </xf>
    <xf numFmtId="164" fontId="18" fillId="0" borderId="13" xfId="12" applyNumberFormat="1" applyFont="1" applyBorder="1" applyAlignment="1">
      <alignment horizontal="center" vertical="center"/>
    </xf>
    <xf numFmtId="164" fontId="18" fillId="0" borderId="0" xfId="12" applyNumberFormat="1" applyFont="1" applyBorder="1" applyAlignment="1">
      <alignment horizontal="center" vertical="center"/>
    </xf>
    <xf numFmtId="0" fontId="28" fillId="0" borderId="8" xfId="0" quotePrefix="1" applyFont="1" applyFill="1" applyBorder="1" applyAlignment="1">
      <alignment horizontal="left"/>
    </xf>
    <xf numFmtId="0" fontId="18" fillId="0" borderId="0" xfId="0" quotePrefix="1" applyFont="1" applyFill="1" applyBorder="1" applyAlignment="1">
      <alignment horizontal="left"/>
    </xf>
    <xf numFmtId="0" fontId="18" fillId="0" borderId="14" xfId="0" quotePrefix="1" applyFont="1" applyFill="1" applyBorder="1" applyAlignment="1">
      <alignment horizontal="left"/>
    </xf>
    <xf numFmtId="0" fontId="18" fillId="0" borderId="13" xfId="0" quotePrefix="1" applyFont="1" applyFill="1" applyBorder="1" applyAlignment="1">
      <alignment horizontal="left"/>
    </xf>
    <xf numFmtId="0" fontId="18" fillId="0" borderId="14" xfId="0" applyFont="1" applyFill="1" applyBorder="1" applyAlignment="1">
      <alignment horizontal="left"/>
    </xf>
    <xf numFmtId="0" fontId="18" fillId="0" borderId="13" xfId="0" applyFont="1" applyFill="1" applyBorder="1" applyAlignment="1">
      <alignment horizontal="left"/>
    </xf>
    <xf numFmtId="0" fontId="18" fillId="0" borderId="0" xfId="0" applyFont="1" applyFill="1" applyBorder="1" applyAlignment="1">
      <alignment horizontal="left"/>
    </xf>
    <xf numFmtId="0" fontId="18" fillId="0" borderId="0" xfId="0" applyFont="1" applyFill="1" applyBorder="1" applyAlignment="1">
      <alignment horizontal="center" vertical="center"/>
    </xf>
    <xf numFmtId="0" fontId="18" fillId="0" borderId="14" xfId="0" applyFont="1" applyFill="1" applyBorder="1" applyAlignment="1">
      <alignment horizontal="center" vertical="center"/>
    </xf>
    <xf numFmtId="5" fontId="18" fillId="0" borderId="14" xfId="11" applyNumberFormat="1" applyFont="1" applyBorder="1" applyAlignment="1">
      <alignment horizontal="center" vertical="center"/>
    </xf>
    <xf numFmtId="0" fontId="18" fillId="0" borderId="11" xfId="0" applyFont="1" applyBorder="1" applyAlignment="1">
      <alignment horizontal="center"/>
    </xf>
    <xf numFmtId="0" fontId="9" fillId="0" borderId="8" xfId="0" applyFont="1" applyBorder="1" applyAlignment="1">
      <alignment horizontal="center"/>
    </xf>
    <xf numFmtId="0" fontId="18" fillId="0" borderId="14" xfId="0" applyFont="1" applyBorder="1" applyAlignment="1">
      <alignment horizontal="center"/>
    </xf>
    <xf numFmtId="166" fontId="18" fillId="0" borderId="13" xfId="0" applyNumberFormat="1" applyFont="1" applyFill="1" applyBorder="1" applyAlignment="1">
      <alignment horizontal="right" vertical="center"/>
    </xf>
    <xf numFmtId="166" fontId="18" fillId="0" borderId="14" xfId="0" applyNumberFormat="1" applyFont="1" applyFill="1" applyBorder="1" applyAlignment="1">
      <alignment horizontal="right" vertical="center"/>
    </xf>
    <xf numFmtId="0" fontId="18" fillId="0" borderId="8" xfId="0" quotePrefix="1" applyFont="1" applyBorder="1" applyAlignment="1">
      <alignment horizontal="left" indent="1"/>
    </xf>
    <xf numFmtId="0" fontId="6" fillId="5" borderId="1" xfId="0" applyFont="1" applyFill="1" applyBorder="1" applyAlignment="1">
      <alignment horizontal="center"/>
    </xf>
    <xf numFmtId="0" fontId="27" fillId="15" borderId="8" xfId="0" applyFont="1" applyFill="1" applyBorder="1" applyAlignment="1">
      <alignment horizontal="left"/>
    </xf>
    <xf numFmtId="0" fontId="27" fillId="15" borderId="0" xfId="0" applyFont="1" applyFill="1" applyBorder="1" applyAlignment="1">
      <alignment horizontal="left"/>
    </xf>
    <xf numFmtId="167" fontId="18" fillId="0" borderId="0" xfId="11" applyNumberFormat="1" applyFont="1" applyBorder="1" applyAlignment="1">
      <alignment horizontal="center" vertical="center"/>
    </xf>
    <xf numFmtId="167" fontId="18" fillId="0" borderId="13" xfId="11" applyNumberFormat="1" applyFont="1" applyBorder="1" applyAlignment="1">
      <alignment horizontal="center" vertical="center"/>
    </xf>
    <xf numFmtId="167" fontId="18" fillId="0" borderId="14" xfId="11" applyNumberFormat="1" applyFont="1" applyBorder="1" applyAlignment="1">
      <alignment horizontal="center" vertical="center"/>
    </xf>
    <xf numFmtId="167" fontId="18" fillId="0" borderId="9" xfId="11" applyNumberFormat="1" applyFont="1" applyBorder="1" applyAlignment="1">
      <alignment horizontal="center" vertical="center"/>
    </xf>
    <xf numFmtId="168" fontId="18" fillId="0" borderId="14" xfId="11" applyNumberFormat="1" applyFont="1" applyBorder="1" applyAlignment="1">
      <alignment horizontal="center" vertical="center"/>
    </xf>
    <xf numFmtId="168" fontId="18" fillId="0" borderId="9" xfId="11" applyNumberFormat="1" applyFont="1" applyBorder="1" applyAlignment="1">
      <alignment horizontal="center" vertical="center"/>
    </xf>
    <xf numFmtId="166" fontId="9" fillId="0" borderId="13" xfId="0" applyNumberFormat="1" applyFont="1" applyBorder="1" applyAlignment="1">
      <alignment horizontal="center" vertical="center"/>
    </xf>
    <xf numFmtId="0" fontId="18" fillId="0" borderId="13" xfId="0" applyFont="1" applyBorder="1" applyAlignment="1">
      <alignment horizontal="center" vertical="center"/>
    </xf>
    <xf numFmtId="167" fontId="18" fillId="0" borderId="13" xfId="11" applyNumberFormat="1" applyFont="1" applyBorder="1" applyAlignment="1">
      <alignment horizontal="center" vertical="center"/>
    </xf>
    <xf numFmtId="0" fontId="0" fillId="0" borderId="0" xfId="0" applyAlignment="1">
      <alignment horizontal="center"/>
    </xf>
    <xf numFmtId="168" fontId="18" fillId="0" borderId="14" xfId="11" applyNumberFormat="1" applyFont="1" applyBorder="1" applyAlignment="1">
      <alignment horizontal="center" vertical="center"/>
    </xf>
    <xf numFmtId="165" fontId="0" fillId="0" borderId="0" xfId="36" applyNumberFormat="1" applyFont="1" applyAlignment="1">
      <alignment horizontal="center"/>
    </xf>
    <xf numFmtId="165" fontId="10" fillId="2" borderId="0" xfId="36" applyNumberFormat="1" applyFont="1" applyFill="1" applyAlignment="1">
      <alignment horizontal="center"/>
    </xf>
    <xf numFmtId="0" fontId="18" fillId="0" borderId="8" xfId="0" quotePrefix="1" applyFont="1" applyFill="1" applyBorder="1" applyAlignment="1">
      <alignment horizontal="left" indent="1"/>
    </xf>
    <xf numFmtId="167" fontId="18" fillId="0" borderId="0" xfId="11" applyNumberFormat="1" applyFont="1" applyBorder="1" applyAlignment="1">
      <alignment horizontal="center" vertical="center"/>
    </xf>
    <xf numFmtId="167" fontId="18" fillId="0" borderId="13" xfId="11" applyNumberFormat="1" applyFont="1" applyBorder="1" applyAlignment="1">
      <alignment horizontal="center" vertical="center"/>
    </xf>
    <xf numFmtId="167" fontId="18" fillId="0" borderId="13" xfId="11" applyNumberFormat="1" applyFont="1" applyBorder="1" applyAlignment="1">
      <alignment horizontal="center" vertical="center"/>
    </xf>
    <xf numFmtId="167" fontId="18" fillId="0" borderId="0" xfId="11" applyNumberFormat="1" applyFont="1" applyBorder="1" applyAlignment="1">
      <alignment horizontal="center" vertical="center"/>
    </xf>
    <xf numFmtId="9" fontId="6" fillId="9" borderId="0" xfId="0" applyNumberFormat="1" applyFont="1" applyFill="1"/>
    <xf numFmtId="9" fontId="15" fillId="9" borderId="0" xfId="0" applyNumberFormat="1" applyFont="1" applyFill="1" applyAlignment="1">
      <alignment horizontal="center"/>
    </xf>
    <xf numFmtId="9" fontId="6" fillId="0" borderId="1" xfId="0" applyNumberFormat="1" applyFont="1" applyBorder="1" applyAlignment="1">
      <alignment horizontal="center" wrapText="1"/>
    </xf>
    <xf numFmtId="9" fontId="0" fillId="0" borderId="0" xfId="12" applyNumberFormat="1" applyFont="1" applyAlignment="1">
      <alignment horizontal="center"/>
    </xf>
    <xf numFmtId="9" fontId="0" fillId="0" borderId="0" xfId="0" applyNumberFormat="1" applyFont="1" applyAlignment="1">
      <alignment horizontal="center"/>
    </xf>
    <xf numFmtId="9" fontId="6" fillId="0" borderId="2" xfId="12" applyNumberFormat="1" applyFont="1" applyBorder="1" applyAlignment="1">
      <alignment horizontal="center"/>
    </xf>
    <xf numFmtId="9" fontId="0" fillId="0" borderId="0" xfId="0" applyNumberFormat="1"/>
    <xf numFmtId="9" fontId="10" fillId="2" borderId="2" xfId="12" applyNumberFormat="1" applyFont="1" applyFill="1" applyBorder="1" applyAlignment="1">
      <alignment horizontal="center"/>
    </xf>
    <xf numFmtId="9" fontId="18" fillId="0" borderId="14" xfId="12" applyNumberFormat="1" applyFont="1" applyBorder="1" applyAlignment="1">
      <alignment horizontal="center" vertical="center"/>
    </xf>
    <xf numFmtId="3" fontId="18" fillId="0" borderId="14" xfId="0" applyNumberFormat="1" applyFont="1" applyBorder="1" applyAlignment="1">
      <alignment horizontal="center" vertical="center"/>
    </xf>
    <xf numFmtId="3" fontId="18" fillId="0" borderId="9" xfId="0" applyNumberFormat="1" applyFont="1" applyBorder="1" applyAlignment="1">
      <alignment horizontal="center" vertical="center"/>
    </xf>
    <xf numFmtId="0" fontId="41" fillId="0" borderId="0" xfId="0" applyFont="1"/>
    <xf numFmtId="0" fontId="42" fillId="0" borderId="0" xfId="0" applyFont="1"/>
    <xf numFmtId="0" fontId="19" fillId="2" borderId="0" xfId="0" quotePrefix="1" applyFont="1" applyFill="1"/>
    <xf numFmtId="0" fontId="44" fillId="0" borderId="0" xfId="42" applyFont="1" applyProtection="1">
      <alignment vertical="center" wrapText="1"/>
      <protection locked="0"/>
    </xf>
    <xf numFmtId="0" fontId="44" fillId="0" borderId="0" xfId="42" applyFont="1">
      <alignment vertical="center" wrapText="1"/>
    </xf>
    <xf numFmtId="0" fontId="48" fillId="0" borderId="27" xfId="45" applyFont="1" applyBorder="1" applyProtection="1">
      <alignment vertical="center"/>
      <protection locked="0"/>
    </xf>
    <xf numFmtId="0" fontId="48" fillId="0" borderId="0" xfId="45" applyFont="1" applyBorder="1" applyProtection="1">
      <alignment vertical="center"/>
      <protection locked="0"/>
    </xf>
    <xf numFmtId="0" fontId="44" fillId="0" borderId="0" xfId="42" applyFont="1" applyBorder="1">
      <alignment vertical="center" wrapText="1"/>
    </xf>
    <xf numFmtId="5" fontId="45" fillId="0" borderId="35" xfId="48" applyFont="1" applyBorder="1" applyProtection="1">
      <alignment horizontal="center" vertical="center"/>
      <protection locked="0"/>
    </xf>
    <xf numFmtId="0" fontId="44" fillId="0" borderId="0" xfId="42" applyFont="1" applyBorder="1" applyProtection="1">
      <alignment vertical="center" wrapText="1"/>
      <protection locked="0"/>
    </xf>
    <xf numFmtId="9" fontId="49" fillId="0" borderId="38" xfId="12" applyNumberFormat="1" applyFont="1" applyBorder="1" applyAlignment="1" applyProtection="1">
      <alignment horizontal="left" vertical="center" indent="2"/>
    </xf>
    <xf numFmtId="9" fontId="50" fillId="0" borderId="0" xfId="12" applyNumberFormat="1" applyFont="1" applyAlignment="1" applyProtection="1">
      <alignment horizontal="left" vertical="center" indent="1"/>
      <protection locked="0"/>
    </xf>
    <xf numFmtId="9" fontId="49" fillId="0" borderId="38" xfId="49" applyFont="1" applyBorder="1" applyAlignment="1" applyProtection="1">
      <alignment horizontal="left" vertical="center" indent="2"/>
    </xf>
    <xf numFmtId="9" fontId="51" fillId="0" borderId="0" xfId="42" applyNumberFormat="1" applyFont="1" applyAlignment="1" applyProtection="1">
      <alignment horizontal="left" vertical="center" indent="1"/>
      <protection locked="0"/>
    </xf>
    <xf numFmtId="9" fontId="51" fillId="0" borderId="0" xfId="42" applyNumberFormat="1" applyFont="1" applyBorder="1" applyAlignment="1" applyProtection="1">
      <alignment horizontal="left" vertical="center" indent="1"/>
      <protection locked="0"/>
    </xf>
    <xf numFmtId="0" fontId="44" fillId="0" borderId="0" xfId="42" applyFont="1" applyAlignment="1">
      <alignment horizontal="left" vertical="center" indent="1"/>
    </xf>
    <xf numFmtId="0" fontId="44" fillId="0" borderId="0" xfId="42" applyFont="1" applyAlignment="1">
      <alignment horizontal="center" vertical="center"/>
    </xf>
    <xf numFmtId="0" fontId="44" fillId="0" borderId="42" xfId="42" applyFont="1" applyBorder="1" applyAlignment="1" applyProtection="1">
      <protection locked="0"/>
    </xf>
    <xf numFmtId="0" fontId="44" fillId="0" borderId="0" xfId="42" applyFont="1" applyAlignment="1" applyProtection="1">
      <alignment horizontal="left" indent="1"/>
      <protection locked="0"/>
    </xf>
    <xf numFmtId="0" fontId="44" fillId="0" borderId="0" xfId="42" applyFont="1" applyAlignment="1">
      <alignment horizontal="left" indent="1"/>
    </xf>
    <xf numFmtId="0" fontId="44" fillId="0" borderId="44" xfId="42" applyFont="1" applyBorder="1" applyProtection="1">
      <alignment vertical="center" wrapText="1"/>
      <protection locked="0"/>
    </xf>
    <xf numFmtId="0" fontId="43" fillId="0" borderId="0" xfId="41" applyFont="1" applyAlignment="1" applyProtection="1">
      <alignment horizontal="left"/>
      <protection locked="0"/>
    </xf>
    <xf numFmtId="0" fontId="52" fillId="0" borderId="0" xfId="41" applyFont="1" applyAlignment="1" applyProtection="1">
      <alignment horizontal="left"/>
      <protection locked="0"/>
    </xf>
    <xf numFmtId="0" fontId="55" fillId="0" borderId="0" xfId="44" applyFont="1" applyAlignment="1" applyProtection="1">
      <alignment horizontal="left" vertical="center"/>
      <protection locked="0"/>
    </xf>
    <xf numFmtId="0" fontId="54" fillId="0" borderId="0" xfId="43" applyFont="1" applyAlignment="1">
      <alignment vertical="center"/>
    </xf>
    <xf numFmtId="0" fontId="46" fillId="16" borderId="17" xfId="42" applyFont="1" applyFill="1" applyBorder="1" applyAlignment="1" applyProtection="1">
      <alignment horizontal="left" vertical="center" indent="1"/>
      <protection locked="0"/>
    </xf>
    <xf numFmtId="0" fontId="44" fillId="0" borderId="0" xfId="42" applyFont="1" applyBorder="1" applyAlignment="1" applyProtection="1">
      <alignment horizontal="left" vertical="center" indent="1"/>
      <protection locked="0"/>
    </xf>
    <xf numFmtId="169" fontId="44" fillId="0" borderId="0" xfId="42" applyNumberFormat="1" applyFont="1" applyBorder="1" applyAlignment="1" applyProtection="1">
      <alignment horizontal="right" vertical="center"/>
      <protection locked="0"/>
    </xf>
    <xf numFmtId="0" fontId="44" fillId="0" borderId="19" xfId="42" applyFont="1" applyBorder="1" applyAlignment="1">
      <alignment horizontal="center" vertical="center"/>
    </xf>
    <xf numFmtId="0" fontId="44" fillId="0" borderId="20" xfId="42" applyFont="1" applyBorder="1" applyAlignment="1" applyProtection="1">
      <alignment horizontal="left" vertical="center"/>
      <protection locked="0"/>
    </xf>
    <xf numFmtId="0" fontId="57" fillId="0" borderId="0" xfId="42" applyFont="1" applyAlignment="1">
      <alignment vertical="center"/>
    </xf>
    <xf numFmtId="0" fontId="44" fillId="0" borderId="0" xfId="42" applyFont="1" applyAlignment="1">
      <alignment vertical="center"/>
    </xf>
    <xf numFmtId="0" fontId="44" fillId="0" borderId="21" xfId="42" applyFont="1" applyBorder="1" applyAlignment="1">
      <alignment horizontal="center" vertical="center"/>
    </xf>
    <xf numFmtId="0" fontId="44" fillId="0" borderId="22" xfId="42" applyFont="1" applyBorder="1" applyAlignment="1" applyProtection="1">
      <alignment horizontal="left" vertical="center"/>
      <protection locked="0"/>
    </xf>
    <xf numFmtId="0" fontId="44" fillId="0" borderId="22" xfId="42" applyFont="1" applyBorder="1" applyAlignment="1" applyProtection="1">
      <alignment vertical="center"/>
      <protection locked="0"/>
    </xf>
    <xf numFmtId="0" fontId="44" fillId="0" borderId="23" xfId="42" applyFont="1" applyBorder="1" applyAlignment="1">
      <alignment horizontal="center" vertical="center"/>
    </xf>
    <xf numFmtId="0" fontId="44" fillId="0" borderId="24" xfId="42" applyFont="1" applyBorder="1" applyAlignment="1" applyProtection="1">
      <alignment vertical="center"/>
      <protection locked="0"/>
    </xf>
    <xf numFmtId="0" fontId="58" fillId="0" borderId="0" xfId="42" applyFont="1" applyAlignment="1">
      <alignment vertical="center"/>
    </xf>
    <xf numFmtId="0" fontId="44" fillId="0" borderId="0" xfId="42" applyFont="1" applyAlignment="1">
      <alignment horizontal="right"/>
    </xf>
    <xf numFmtId="0" fontId="44" fillId="0" borderId="0" xfId="42" applyFont="1" applyAlignment="1">
      <alignment horizontal="center"/>
    </xf>
    <xf numFmtId="0" fontId="48" fillId="0" borderId="25" xfId="45" applyFont="1">
      <alignment vertical="center"/>
    </xf>
    <xf numFmtId="0" fontId="48" fillId="0" borderId="25" xfId="45" applyFont="1" applyAlignment="1">
      <alignment horizontal="center"/>
    </xf>
    <xf numFmtId="9" fontId="51" fillId="0" borderId="0" xfId="12" applyFont="1"/>
    <xf numFmtId="0" fontId="0" fillId="0" borderId="0" xfId="0" quotePrefix="1" applyAlignment="1">
      <alignment horizontal="center" vertical="center"/>
    </xf>
    <xf numFmtId="164" fontId="0" fillId="0" borderId="0" xfId="12" quotePrefix="1" applyNumberFormat="1" applyFont="1" applyAlignment="1">
      <alignment horizontal="center" vertical="center"/>
    </xf>
    <xf numFmtId="0" fontId="46" fillId="16" borderId="17" xfId="42" applyFont="1" applyFill="1" applyBorder="1" applyAlignment="1" applyProtection="1">
      <alignment horizontal="center" vertical="center"/>
      <protection locked="0"/>
    </xf>
    <xf numFmtId="169" fontId="44" fillId="0" borderId="0" xfId="42" applyNumberFormat="1" applyFont="1" applyBorder="1" applyAlignment="1" applyProtection="1">
      <alignment horizontal="center" vertical="center"/>
      <protection locked="0"/>
    </xf>
    <xf numFmtId="170" fontId="0" fillId="0" borderId="0" xfId="0" quotePrefix="1" applyNumberFormat="1" applyAlignment="1">
      <alignment horizontal="center" vertical="center"/>
    </xf>
    <xf numFmtId="0" fontId="19" fillId="0" borderId="0" xfId="0" quotePrefix="1" applyFont="1" applyFill="1" applyAlignment="1">
      <alignment horizontal="left" vertical="center"/>
    </xf>
    <xf numFmtId="0" fontId="60" fillId="2" borderId="0" xfId="42" applyFont="1" applyFill="1" applyAlignment="1">
      <alignment horizontal="left" vertical="center" indent="1"/>
    </xf>
    <xf numFmtId="0" fontId="60" fillId="2" borderId="0" xfId="42" applyFont="1" applyFill="1">
      <alignment vertical="center" wrapText="1"/>
    </xf>
    <xf numFmtId="168" fontId="45" fillId="0" borderId="34" xfId="12" applyNumberFormat="1" applyFont="1" applyBorder="1" applyAlignment="1" applyProtection="1">
      <alignment horizontal="center" vertical="center"/>
    </xf>
    <xf numFmtId="0" fontId="18" fillId="0" borderId="14" xfId="0" applyFont="1" applyBorder="1" applyAlignment="1">
      <alignment horizontal="center"/>
    </xf>
    <xf numFmtId="0" fontId="6" fillId="8" borderId="0" xfId="0" applyFont="1" applyFill="1" applyAlignment="1">
      <alignment wrapText="1"/>
    </xf>
    <xf numFmtId="164" fontId="0" fillId="0" borderId="0" xfId="12" applyNumberFormat="1" applyFont="1"/>
    <xf numFmtId="43" fontId="0" fillId="0" borderId="0" xfId="50" applyFont="1"/>
    <xf numFmtId="164" fontId="0" fillId="18" borderId="0" xfId="12" applyNumberFormat="1" applyFont="1" applyFill="1" applyAlignment="1">
      <alignment horizontal="center"/>
    </xf>
    <xf numFmtId="0" fontId="62" fillId="19" borderId="52" xfId="0" applyFont="1" applyFill="1" applyBorder="1"/>
    <xf numFmtId="0" fontId="62" fillId="19" borderId="52" xfId="0" applyFont="1" applyFill="1" applyBorder="1" applyAlignment="1">
      <alignment wrapText="1"/>
    </xf>
    <xf numFmtId="0" fontId="0" fillId="0" borderId="0" xfId="0" applyAlignment="1">
      <alignment horizontal="left"/>
    </xf>
    <xf numFmtId="0" fontId="0" fillId="0" borderId="0" xfId="0" applyNumberFormat="1"/>
    <xf numFmtId="0" fontId="29" fillId="0" borderId="0" xfId="0" applyFont="1" applyFill="1"/>
    <xf numFmtId="0" fontId="65" fillId="15" borderId="15" xfId="44" applyFont="1" applyFill="1" applyBorder="1" applyAlignment="1">
      <alignment horizontal="center" vertical="center" wrapText="1"/>
    </xf>
    <xf numFmtId="0" fontId="18" fillId="0" borderId="0" xfId="0" applyFont="1" applyAlignment="1">
      <alignment vertical="top" wrapText="1"/>
    </xf>
    <xf numFmtId="0" fontId="6" fillId="18" borderId="1" xfId="0" applyFont="1" applyFill="1" applyBorder="1" applyAlignment="1">
      <alignment horizontal="center" wrapText="1"/>
    </xf>
    <xf numFmtId="9" fontId="0" fillId="0" borderId="0" xfId="12" applyFont="1" applyAlignment="1">
      <alignment horizontal="center"/>
    </xf>
    <xf numFmtId="9" fontId="6" fillId="0" borderId="2" xfId="12" applyFont="1" applyBorder="1" applyAlignment="1">
      <alignment horizontal="center"/>
    </xf>
    <xf numFmtId="0" fontId="66" fillId="20" borderId="0" xfId="42" applyFont="1" applyFill="1">
      <alignment vertical="center" wrapText="1"/>
    </xf>
    <xf numFmtId="3" fontId="18" fillId="0" borderId="0" xfId="0" applyNumberFormat="1" applyFont="1" applyFill="1" applyBorder="1" applyAlignment="1">
      <alignment horizontal="center" vertical="center"/>
    </xf>
    <xf numFmtId="164" fontId="18" fillId="0" borderId="14" xfId="12" applyNumberFormat="1" applyFont="1" applyFill="1" applyBorder="1" applyAlignment="1">
      <alignment horizontal="center" vertical="center"/>
    </xf>
    <xf numFmtId="164" fontId="18" fillId="0" borderId="9" xfId="12" applyNumberFormat="1" applyFont="1" applyFill="1" applyBorder="1" applyAlignment="1">
      <alignment horizontal="center" vertical="center"/>
    </xf>
    <xf numFmtId="9" fontId="18" fillId="0" borderId="14" xfId="12" applyNumberFormat="1" applyFont="1" applyFill="1" applyBorder="1" applyAlignment="1">
      <alignment horizontal="center" vertical="center"/>
    </xf>
    <xf numFmtId="0" fontId="18" fillId="0" borderId="13" xfId="0" applyFont="1" applyFill="1" applyBorder="1"/>
    <xf numFmtId="0" fontId="18" fillId="0" borderId="14" xfId="0" applyFont="1" applyFill="1" applyBorder="1"/>
    <xf numFmtId="0" fontId="18" fillId="0" borderId="0" xfId="0" applyFont="1" applyFill="1" applyBorder="1"/>
    <xf numFmtId="0" fontId="18" fillId="0" borderId="9" xfId="0" applyFont="1" applyFill="1" applyBorder="1"/>
    <xf numFmtId="0" fontId="44" fillId="0" borderId="0" xfId="42" applyFont="1" applyBorder="1" applyAlignment="1" applyProtection="1">
      <alignment horizontal="left" indent="1"/>
      <protection locked="0"/>
    </xf>
    <xf numFmtId="0" fontId="61" fillId="0" borderId="0" xfId="42" applyFont="1" applyAlignment="1">
      <alignment horizontal="left" vertical="center" wrapText="1"/>
    </xf>
    <xf numFmtId="0" fontId="49" fillId="0" borderId="0" xfId="42" applyFont="1">
      <alignment vertical="center" wrapText="1"/>
    </xf>
    <xf numFmtId="167" fontId="49" fillId="0" borderId="49" xfId="42" applyNumberFormat="1" applyFont="1" applyFill="1" applyBorder="1" applyAlignment="1">
      <alignment horizontal="center" vertical="center"/>
    </xf>
    <xf numFmtId="168" fontId="49" fillId="0" borderId="17" xfId="12" applyNumberFormat="1" applyFont="1" applyFill="1" applyBorder="1" applyAlignment="1">
      <alignment horizontal="center" vertical="center"/>
    </xf>
    <xf numFmtId="164" fontId="49" fillId="0" borderId="49" xfId="42" applyNumberFormat="1" applyFont="1" applyFill="1" applyBorder="1" applyAlignment="1">
      <alignment horizontal="center" vertical="center"/>
    </xf>
    <xf numFmtId="164" fontId="49" fillId="0" borderId="17" xfId="12" applyNumberFormat="1" applyFont="1" applyFill="1" applyBorder="1" applyAlignment="1">
      <alignment horizontal="center" vertical="center"/>
    </xf>
    <xf numFmtId="168" fontId="49" fillId="0" borderId="50" xfId="12" applyNumberFormat="1" applyFont="1" applyFill="1" applyBorder="1" applyAlignment="1">
      <alignment horizontal="center" vertical="center"/>
    </xf>
    <xf numFmtId="164" fontId="49" fillId="0" borderId="51" xfId="12" applyNumberFormat="1" applyFont="1" applyFill="1" applyBorder="1" applyAlignment="1">
      <alignment horizontal="center" vertical="center"/>
    </xf>
    <xf numFmtId="0" fontId="61" fillId="0" borderId="0" xfId="42" applyFont="1" applyAlignment="1">
      <alignment horizontal="left" vertical="center"/>
    </xf>
    <xf numFmtId="169" fontId="49" fillId="0" borderId="49" xfId="42" applyNumberFormat="1" applyFont="1" applyFill="1" applyBorder="1" applyAlignment="1">
      <alignment horizontal="center" vertical="center"/>
    </xf>
    <xf numFmtId="37" fontId="49" fillId="0" borderId="49" xfId="42" applyNumberFormat="1" applyFont="1" applyFill="1" applyBorder="1" applyAlignment="1">
      <alignment horizontal="center" vertical="center"/>
    </xf>
    <xf numFmtId="37" fontId="49" fillId="0" borderId="17" xfId="12" applyNumberFormat="1" applyFont="1" applyFill="1" applyBorder="1" applyAlignment="1">
      <alignment horizontal="center" vertical="center"/>
    </xf>
    <xf numFmtId="37" fontId="49" fillId="0" borderId="50" xfId="12" applyNumberFormat="1" applyFont="1" applyFill="1" applyBorder="1" applyAlignment="1">
      <alignment horizontal="center" vertical="center"/>
    </xf>
    <xf numFmtId="1" fontId="49" fillId="0" borderId="49" xfId="42" applyNumberFormat="1" applyFont="1" applyFill="1" applyBorder="1" applyAlignment="1">
      <alignment horizontal="center" vertical="center"/>
    </xf>
    <xf numFmtId="3" fontId="49" fillId="0" borderId="49" xfId="42" applyNumberFormat="1" applyFont="1" applyFill="1" applyBorder="1" applyAlignment="1">
      <alignment horizontal="center" vertical="center"/>
    </xf>
    <xf numFmtId="37" fontId="49" fillId="0" borderId="51" xfId="12" applyNumberFormat="1" applyFont="1" applyFill="1" applyBorder="1" applyAlignment="1">
      <alignment horizontal="center" vertical="center"/>
    </xf>
    <xf numFmtId="37" fontId="49" fillId="0" borderId="0" xfId="12" applyNumberFormat="1" applyFont="1" applyFill="1" applyBorder="1" applyAlignment="1">
      <alignment horizontal="center" vertical="center"/>
    </xf>
    <xf numFmtId="168" fontId="49" fillId="0" borderId="0" xfId="12" applyNumberFormat="1" applyFont="1" applyFill="1" applyBorder="1" applyAlignment="1">
      <alignment horizontal="center" vertical="center"/>
    </xf>
    <xf numFmtId="0" fontId="67" fillId="17" borderId="17" xfId="42" applyFont="1" applyFill="1" applyBorder="1" applyAlignment="1">
      <alignment horizontal="center" vertical="center"/>
    </xf>
    <xf numFmtId="0" fontId="67" fillId="17" borderId="29" xfId="47" applyFont="1" applyFill="1" applyBorder="1" applyAlignment="1" applyProtection="1">
      <alignment horizontal="center" vertical="center" wrapText="1"/>
    </xf>
    <xf numFmtId="0" fontId="68" fillId="0" borderId="0" xfId="42" applyFont="1" applyAlignment="1" applyProtection="1">
      <protection locked="0"/>
    </xf>
    <xf numFmtId="0" fontId="68" fillId="0" borderId="0" xfId="42" applyFont="1" applyAlignment="1"/>
    <xf numFmtId="168" fontId="49" fillId="0" borderId="18" xfId="12" applyNumberFormat="1" applyFont="1" applyFill="1" applyBorder="1" applyAlignment="1">
      <alignment horizontal="center" vertical="center"/>
    </xf>
    <xf numFmtId="37" fontId="49" fillId="0" borderId="18" xfId="12" applyNumberFormat="1" applyFont="1" applyFill="1" applyBorder="1" applyAlignment="1">
      <alignment horizontal="center" vertical="center"/>
    </xf>
    <xf numFmtId="37" fontId="49" fillId="0" borderId="49" xfId="12" applyNumberFormat="1" applyFont="1" applyFill="1" applyBorder="1" applyAlignment="1">
      <alignment horizontal="center" vertical="center"/>
    </xf>
    <xf numFmtId="171" fontId="49" fillId="0" borderId="49" xfId="12" applyNumberFormat="1" applyFont="1" applyFill="1" applyBorder="1" applyAlignment="1">
      <alignment horizontal="center" vertical="center"/>
    </xf>
    <xf numFmtId="0" fontId="44" fillId="0" borderId="49" xfId="42" applyFont="1" applyBorder="1">
      <alignment vertical="center" wrapText="1"/>
    </xf>
    <xf numFmtId="0" fontId="44" fillId="0" borderId="18" xfId="42" applyFont="1" applyBorder="1">
      <alignment vertical="center" wrapText="1"/>
    </xf>
    <xf numFmtId="171" fontId="49" fillId="0" borderId="18" xfId="12" applyNumberFormat="1" applyFont="1" applyFill="1" applyBorder="1" applyAlignment="1">
      <alignment horizontal="center" vertical="center"/>
    </xf>
    <xf numFmtId="0" fontId="70" fillId="0" borderId="0" xfId="42" applyFont="1">
      <alignment vertical="center" wrapText="1"/>
    </xf>
    <xf numFmtId="0" fontId="71" fillId="0" borderId="0" xfId="42" applyFont="1">
      <alignment vertical="center" wrapText="1"/>
    </xf>
    <xf numFmtId="0" fontId="70" fillId="0" borderId="0" xfId="42" applyFont="1" applyAlignment="1">
      <alignment horizontal="left" vertical="center" indent="1"/>
    </xf>
    <xf numFmtId="9" fontId="10" fillId="0" borderId="0" xfId="12" applyNumberFormat="1" applyFont="1" applyFill="1" applyAlignment="1">
      <alignment horizontal="center"/>
    </xf>
    <xf numFmtId="164" fontId="6" fillId="0" borderId="0" xfId="12" applyNumberFormat="1" applyFont="1" applyAlignment="1">
      <alignment wrapText="1"/>
    </xf>
    <xf numFmtId="43" fontId="6" fillId="0" borderId="0" xfId="50" applyFont="1" applyAlignment="1">
      <alignment wrapText="1"/>
    </xf>
    <xf numFmtId="0" fontId="30" fillId="0" borderId="0" xfId="0" applyFont="1" applyAlignment="1">
      <alignment horizontal="center"/>
    </xf>
    <xf numFmtId="0" fontId="64" fillId="15" borderId="0" xfId="0" applyFont="1" applyFill="1" applyBorder="1" applyAlignment="1">
      <alignment horizontal="center"/>
    </xf>
    <xf numFmtId="0" fontId="49" fillId="0" borderId="49" xfId="42" applyFont="1" applyFill="1" applyBorder="1" applyAlignment="1">
      <alignment horizontal="left" vertical="center" indent="1"/>
    </xf>
    <xf numFmtId="169" fontId="49" fillId="0" borderId="18" xfId="42" applyNumberFormat="1" applyFont="1" applyFill="1" applyBorder="1" applyAlignment="1">
      <alignment horizontal="center" vertical="center"/>
    </xf>
    <xf numFmtId="0" fontId="49" fillId="0" borderId="49" xfId="42" applyFont="1" applyFill="1" applyBorder="1" applyAlignment="1">
      <alignment vertical="center"/>
    </xf>
    <xf numFmtId="0" fontId="49" fillId="0" borderId="49" xfId="42" applyFont="1" applyFill="1" applyBorder="1" applyAlignment="1">
      <alignment horizontal="left" vertical="center" wrapText="1" indent="1"/>
    </xf>
    <xf numFmtId="164" fontId="49" fillId="0" borderId="18" xfId="42" applyNumberFormat="1" applyFont="1" applyFill="1" applyBorder="1" applyAlignment="1">
      <alignment horizontal="center" vertical="center"/>
    </xf>
    <xf numFmtId="37" fontId="49" fillId="0" borderId="18" xfId="42" applyNumberFormat="1" applyFont="1" applyFill="1" applyBorder="1" applyAlignment="1">
      <alignment horizontal="center" vertical="center"/>
    </xf>
    <xf numFmtId="0" fontId="61" fillId="0" borderId="0" xfId="42" applyFont="1" applyAlignment="1">
      <alignment horizontal="center" vertical="center" wrapText="1"/>
    </xf>
    <xf numFmtId="1" fontId="49" fillId="0" borderId="18" xfId="42" applyNumberFormat="1" applyFont="1" applyFill="1" applyBorder="1" applyAlignment="1">
      <alignment horizontal="center" vertical="center"/>
    </xf>
    <xf numFmtId="3" fontId="49" fillId="0" borderId="18" xfId="42" applyNumberFormat="1" applyFont="1" applyFill="1" applyBorder="1" applyAlignment="1">
      <alignment horizontal="center" vertical="center"/>
    </xf>
    <xf numFmtId="0" fontId="49" fillId="0" borderId="49" xfId="42" applyFont="1" applyFill="1" applyBorder="1" applyAlignment="1">
      <alignment horizontal="left" vertical="center" indent="2"/>
    </xf>
    <xf numFmtId="0" fontId="49" fillId="0" borderId="49" xfId="42" applyFont="1" applyFill="1" applyBorder="1" applyAlignment="1">
      <alignment horizontal="left" vertical="center" wrapText="1" indent="2"/>
    </xf>
    <xf numFmtId="167" fontId="49" fillId="0" borderId="18" xfId="42" applyNumberFormat="1" applyFont="1" applyFill="1" applyBorder="1" applyAlignment="1">
      <alignment horizontal="center" vertical="center"/>
    </xf>
    <xf numFmtId="0" fontId="44" fillId="0" borderId="47" xfId="42" applyFont="1" applyBorder="1">
      <alignment vertical="center" wrapText="1"/>
    </xf>
    <xf numFmtId="0" fontId="67" fillId="17" borderId="48" xfId="42" applyFont="1" applyFill="1" applyBorder="1" applyAlignment="1">
      <alignment horizontal="left" vertical="center" indent="1"/>
    </xf>
    <xf numFmtId="0" fontId="67" fillId="17" borderId="48" xfId="42" applyFont="1" applyFill="1" applyBorder="1" applyAlignment="1">
      <alignment horizontal="center" vertical="center"/>
    </xf>
    <xf numFmtId="0" fontId="67" fillId="17" borderId="17" xfId="42" applyFont="1" applyFill="1" applyBorder="1" applyAlignment="1">
      <alignment horizontal="center" vertical="center"/>
    </xf>
    <xf numFmtId="0" fontId="48" fillId="0" borderId="25" xfId="45" applyFont="1" applyFill="1" applyProtection="1">
      <alignment vertical="center"/>
      <protection locked="0"/>
    </xf>
    <xf numFmtId="0" fontId="44" fillId="0" borderId="45" xfId="42" applyFont="1" applyBorder="1" applyProtection="1">
      <alignment vertical="center" wrapText="1"/>
      <protection locked="0"/>
    </xf>
    <xf numFmtId="0" fontId="44" fillId="0" borderId="26" xfId="42" applyFont="1" applyBorder="1" applyProtection="1">
      <alignment vertical="center" wrapText="1"/>
      <protection locked="0"/>
    </xf>
    <xf numFmtId="0" fontId="44" fillId="0" borderId="46" xfId="42" applyFont="1" applyBorder="1" applyProtection="1">
      <alignment vertical="center" wrapText="1"/>
      <protection locked="0"/>
    </xf>
    <xf numFmtId="0" fontId="69" fillId="0" borderId="25" xfId="45" applyNumberFormat="1" applyFont="1" applyFill="1" applyAlignment="1" applyProtection="1">
      <alignment horizontal="center" vertical="center"/>
      <protection locked="0"/>
    </xf>
    <xf numFmtId="0" fontId="47" fillId="0" borderId="0" xfId="46" applyFont="1" applyAlignment="1" applyProtection="1">
      <alignment vertical="top"/>
      <protection locked="0"/>
    </xf>
    <xf numFmtId="0" fontId="47" fillId="0" borderId="26" xfId="46" applyFont="1" applyBorder="1" applyAlignment="1" applyProtection="1">
      <alignment vertical="top"/>
      <protection locked="0"/>
    </xf>
    <xf numFmtId="0" fontId="48" fillId="0" borderId="25" xfId="45" applyFont="1" applyProtection="1">
      <alignment vertical="center"/>
      <protection locked="0"/>
    </xf>
    <xf numFmtId="0" fontId="48" fillId="0" borderId="28" xfId="45" applyFont="1" applyBorder="1" applyAlignment="1" applyProtection="1">
      <alignment horizontal="center" vertical="center"/>
      <protection locked="0"/>
    </xf>
    <xf numFmtId="0" fontId="67" fillId="17" borderId="30" xfId="47" applyFont="1" applyFill="1" applyBorder="1" applyAlignment="1" applyProtection="1">
      <alignment horizontal="center" vertical="center" wrapText="1"/>
    </xf>
    <xf numFmtId="0" fontId="67" fillId="17" borderId="31" xfId="47" applyFont="1" applyFill="1" applyBorder="1" applyAlignment="1" applyProtection="1">
      <alignment horizontal="center" vertical="center" wrapText="1"/>
    </xf>
    <xf numFmtId="0" fontId="67" fillId="17" borderId="32" xfId="47" applyFont="1" applyFill="1" applyBorder="1" applyAlignment="1" applyProtection="1">
      <alignment horizontal="center" vertical="center" wrapText="1"/>
    </xf>
    <xf numFmtId="37" fontId="45" fillId="0" borderId="36" xfId="12" applyNumberFormat="1" applyFont="1" applyBorder="1" applyAlignment="1" applyProtection="1">
      <alignment horizontal="center" vertical="center"/>
    </xf>
    <xf numFmtId="37" fontId="45" fillId="0" borderId="33" xfId="12" applyNumberFormat="1" applyFont="1" applyBorder="1" applyAlignment="1" applyProtection="1">
      <alignment horizontal="center" vertical="center"/>
    </xf>
    <xf numFmtId="37" fontId="45" fillId="0" borderId="37" xfId="12" applyNumberFormat="1" applyFont="1" applyBorder="1" applyAlignment="1" applyProtection="1">
      <alignment horizontal="center" vertical="center"/>
    </xf>
    <xf numFmtId="9" fontId="49" fillId="0" borderId="39" xfId="49" applyFont="1" applyBorder="1" applyAlignment="1" applyProtection="1">
      <alignment horizontal="left" vertical="center" indent="2"/>
    </xf>
    <xf numFmtId="9" fontId="49" fillId="0" borderId="40" xfId="49" applyFont="1" applyBorder="1" applyAlignment="1" applyProtection="1">
      <alignment horizontal="left" vertical="center" indent="2"/>
    </xf>
    <xf numFmtId="9" fontId="49" fillId="0" borderId="41" xfId="49" applyFont="1" applyBorder="1" applyAlignment="1" applyProtection="1">
      <alignment horizontal="left" vertical="center" indent="2"/>
    </xf>
    <xf numFmtId="0" fontId="44" fillId="0" borderId="43" xfId="42" applyFont="1" applyBorder="1" applyAlignment="1" applyProtection="1">
      <alignment horizontal="left" indent="1"/>
      <protection locked="0"/>
    </xf>
    <xf numFmtId="0" fontId="44" fillId="0" borderId="0" xfId="42" applyFont="1" applyBorder="1" applyAlignment="1" applyProtection="1">
      <alignment horizontal="left" indent="1"/>
      <protection locked="0"/>
    </xf>
    <xf numFmtId="0" fontId="44" fillId="0" borderId="35" xfId="42" applyFont="1" applyBorder="1" applyAlignment="1" applyProtection="1">
      <alignment horizontal="left" indent="1"/>
      <protection locked="0"/>
    </xf>
    <xf numFmtId="0" fontId="67" fillId="17" borderId="5" xfId="47" applyFont="1" applyFill="1" applyBorder="1" applyAlignment="1" applyProtection="1">
      <alignment horizontal="center" vertical="center" wrapText="1"/>
    </xf>
    <xf numFmtId="0" fontId="67" fillId="17" borderId="7" xfId="47" applyFont="1" applyFill="1" applyBorder="1" applyAlignment="1" applyProtection="1">
      <alignment horizontal="center" vertical="center" wrapText="1"/>
    </xf>
    <xf numFmtId="168" fontId="45" fillId="0" borderId="53" xfId="12" applyNumberFormat="1" applyFont="1" applyBorder="1" applyAlignment="1" applyProtection="1">
      <alignment horizontal="center" vertical="center"/>
    </xf>
    <xf numFmtId="168" fontId="45" fillId="0" borderId="54" xfId="12" applyNumberFormat="1" applyFont="1" applyBorder="1" applyAlignment="1" applyProtection="1">
      <alignment horizontal="center" vertical="center"/>
    </xf>
    <xf numFmtId="9" fontId="49" fillId="0" borderId="8" xfId="49" applyFont="1" applyBorder="1" applyAlignment="1" applyProtection="1">
      <alignment horizontal="center" vertical="center"/>
    </xf>
    <xf numFmtId="9" fontId="49" fillId="0" borderId="9" xfId="49" applyFont="1" applyBorder="1" applyAlignment="1" applyProtection="1">
      <alignment horizontal="center" vertical="center"/>
    </xf>
    <xf numFmtId="0" fontId="44" fillId="0" borderId="8" xfId="42" applyFont="1" applyBorder="1" applyAlignment="1" applyProtection="1">
      <alignment horizontal="center"/>
      <protection locked="0"/>
    </xf>
    <xf numFmtId="0" fontId="44" fillId="0" borderId="9" xfId="42" applyFont="1" applyBorder="1" applyAlignment="1" applyProtection="1">
      <alignment horizontal="center"/>
      <protection locked="0"/>
    </xf>
    <xf numFmtId="0" fontId="44" fillId="0" borderId="10" xfId="42" applyFont="1" applyBorder="1" applyAlignment="1" applyProtection="1">
      <alignment horizontal="center" vertical="center" wrapText="1"/>
      <protection locked="0"/>
    </xf>
    <xf numFmtId="0" fontId="44" fillId="0" borderId="12" xfId="42" applyFont="1" applyBorder="1" applyAlignment="1" applyProtection="1">
      <alignment horizontal="center" vertical="center" wrapText="1"/>
      <protection locked="0"/>
    </xf>
    <xf numFmtId="0" fontId="18" fillId="0" borderId="13" xfId="0" applyFont="1" applyBorder="1" applyAlignment="1">
      <alignment horizontal="center"/>
    </xf>
    <xf numFmtId="0" fontId="18" fillId="0" borderId="14" xfId="0" applyFont="1" applyBorder="1" applyAlignment="1">
      <alignment horizontal="center"/>
    </xf>
    <xf numFmtId="0" fontId="18" fillId="0" borderId="9" xfId="0" applyFont="1" applyBorder="1" applyAlignment="1">
      <alignment horizontal="center"/>
    </xf>
    <xf numFmtId="3" fontId="18" fillId="0" borderId="13" xfId="0" applyNumberFormat="1" applyFont="1" applyFill="1" applyBorder="1" applyAlignment="1">
      <alignment horizontal="center" vertical="center"/>
    </xf>
    <xf numFmtId="3" fontId="18" fillId="0" borderId="14"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0" fontId="7" fillId="0" borderId="0" xfId="0" applyFont="1" applyBorder="1" applyAlignment="1">
      <alignment horizontal="center"/>
    </xf>
    <xf numFmtId="0" fontId="7" fillId="0" borderId="9" xfId="0" applyFont="1" applyBorder="1" applyAlignment="1">
      <alignment horizontal="center"/>
    </xf>
    <xf numFmtId="0" fontId="26" fillId="0" borderId="5" xfId="0" applyFont="1" applyBorder="1" applyAlignment="1">
      <alignment horizontal="center"/>
    </xf>
    <xf numFmtId="0" fontId="26" fillId="0" borderId="6" xfId="0" applyFont="1" applyBorder="1" applyAlignment="1">
      <alignment horizontal="center"/>
    </xf>
    <xf numFmtId="0" fontId="26" fillId="0" borderId="7" xfId="0" applyFont="1" applyBorder="1" applyAlignment="1">
      <alignment horizontal="center"/>
    </xf>
    <xf numFmtId="167" fontId="18" fillId="0" borderId="13" xfId="11" applyNumberFormat="1" applyFont="1" applyBorder="1" applyAlignment="1">
      <alignment horizontal="center" vertical="center"/>
    </xf>
    <xf numFmtId="167" fontId="18" fillId="0" borderId="14" xfId="11" applyNumberFormat="1" applyFont="1" applyBorder="1" applyAlignment="1">
      <alignment horizontal="center" vertical="center"/>
    </xf>
    <xf numFmtId="167" fontId="18" fillId="0" borderId="0" xfId="11" applyNumberFormat="1" applyFont="1" applyBorder="1" applyAlignment="1">
      <alignment horizontal="center" vertical="center"/>
    </xf>
    <xf numFmtId="168" fontId="18" fillId="0" borderId="0" xfId="11" applyNumberFormat="1" applyFont="1" applyBorder="1" applyAlignment="1">
      <alignment horizontal="center" vertical="center"/>
    </xf>
    <xf numFmtId="168" fontId="18" fillId="0" borderId="14" xfId="11" applyNumberFormat="1" applyFont="1" applyBorder="1" applyAlignment="1">
      <alignment horizontal="center" vertical="center"/>
    </xf>
    <xf numFmtId="168" fontId="18" fillId="0" borderId="13" xfId="11" applyNumberFormat="1" applyFont="1" applyBorder="1" applyAlignment="1">
      <alignment horizontal="center" vertical="center"/>
    </xf>
    <xf numFmtId="168" fontId="18" fillId="0" borderId="9" xfId="11" applyNumberFormat="1" applyFont="1" applyBorder="1" applyAlignment="1">
      <alignment horizontal="center" vertical="center"/>
    </xf>
    <xf numFmtId="0" fontId="63" fillId="0" borderId="0" xfId="0" applyFont="1" applyAlignment="1">
      <alignment horizontal="center"/>
    </xf>
    <xf numFmtId="0" fontId="26" fillId="0" borderId="5" xfId="0" applyFont="1" applyFill="1" applyBorder="1" applyAlignment="1">
      <alignment horizontal="center"/>
    </xf>
    <xf numFmtId="0" fontId="26" fillId="0" borderId="6" xfId="0" applyFont="1" applyFill="1" applyBorder="1" applyAlignment="1">
      <alignment horizontal="center"/>
    </xf>
    <xf numFmtId="0" fontId="26" fillId="0" borderId="7" xfId="0" applyFont="1" applyFill="1" applyBorder="1" applyAlignment="1">
      <alignment horizontal="center"/>
    </xf>
    <xf numFmtId="167" fontId="18" fillId="0" borderId="9" xfId="11" applyNumberFormat="1" applyFont="1" applyBorder="1" applyAlignment="1">
      <alignment horizontal="center" vertical="center"/>
    </xf>
    <xf numFmtId="0" fontId="12" fillId="0" borderId="0" xfId="0" applyFont="1" applyBorder="1" applyAlignment="1">
      <alignment horizontal="center"/>
    </xf>
    <xf numFmtId="0" fontId="53" fillId="0" borderId="0" xfId="41" applyFont="1"/>
    <xf numFmtId="0" fontId="54" fillId="0" borderId="0" xfId="43" applyFont="1" applyAlignment="1">
      <alignment horizontal="left"/>
    </xf>
    <xf numFmtId="0" fontId="56" fillId="0" borderId="0" xfId="44" applyFont="1" applyBorder="1" applyAlignment="1" applyProtection="1">
      <alignment horizontal="left" vertical="center"/>
      <protection locked="0"/>
    </xf>
    <xf numFmtId="0" fontId="54" fillId="0" borderId="0" xfId="43" applyFont="1" applyAlignment="1">
      <alignment vertical="center"/>
    </xf>
    <xf numFmtId="0" fontId="56" fillId="0" borderId="16" xfId="44" applyFont="1" applyBorder="1" applyAlignment="1" applyProtection="1">
      <alignment horizontal="left" vertical="center"/>
      <protection locked="0"/>
    </xf>
    <xf numFmtId="0" fontId="6" fillId="0" borderId="55" xfId="0" applyFont="1" applyBorder="1" applyAlignment="1">
      <alignment horizontal="center"/>
    </xf>
    <xf numFmtId="0" fontId="6" fillId="0" borderId="56" xfId="0" applyFont="1" applyBorder="1" applyAlignment="1">
      <alignment horizontal="center"/>
    </xf>
    <xf numFmtId="0" fontId="6" fillId="0" borderId="57" xfId="0" applyFont="1" applyBorder="1" applyAlignment="1">
      <alignment horizontal="center"/>
    </xf>
    <xf numFmtId="0" fontId="6" fillId="8" borderId="0" xfId="0" applyFont="1" applyFill="1" applyAlignment="1">
      <alignment wrapText="1"/>
    </xf>
    <xf numFmtId="0" fontId="0" fillId="0" borderId="0" xfId="0"/>
  </cellXfs>
  <cellStyles count="52">
    <cellStyle name="Comma" xfId="50" builtinId="3"/>
    <cellStyle name="Comma 2" xfId="5"/>
    <cellStyle name="Comma 2 2" xfId="31"/>
    <cellStyle name="Comma 2 3" xfId="36"/>
    <cellStyle name="Comma 3" xfId="14"/>
    <cellStyle name="Comma 4" xfId="26"/>
    <cellStyle name="Currency" xfId="11" builtinId="4"/>
    <cellStyle name="Currency 2" xfId="6"/>
    <cellStyle name="Currency 2 2" xfId="16"/>
    <cellStyle name="Currency 3" xfId="23"/>
    <cellStyle name="Currency 3 2" xfId="51"/>
    <cellStyle name="Heading 1 2" xfId="45"/>
    <cellStyle name="Heading 2 2" xfId="46"/>
    <cellStyle name="Heading 3 2" xfId="43"/>
    <cellStyle name="Hyperlink" xfId="44" builtinId="8"/>
    <cellStyle name="Key Metric Header" xfId="47"/>
    <cellStyle name="Key Metric Percentage" xfId="49"/>
    <cellStyle name="Key Metric Value" xfId="48"/>
    <cellStyle name="Normal" xfId="0" builtinId="0"/>
    <cellStyle name="Normal 10" xfId="32"/>
    <cellStyle name="Normal 11" xfId="33"/>
    <cellStyle name="Normal 12" xfId="38"/>
    <cellStyle name="Normal 13" xfId="39"/>
    <cellStyle name="Normal 14" xfId="42"/>
    <cellStyle name="Normal 2" xfId="2"/>
    <cellStyle name="Normal 2 2" xfId="15"/>
    <cellStyle name="Normal 2 2 2" xfId="20"/>
    <cellStyle name="Normal 2 3" xfId="13"/>
    <cellStyle name="Normal 2 3 2" xfId="37"/>
    <cellStyle name="Normal 2 4" xfId="30"/>
    <cellStyle name="Normal 2 5" xfId="35"/>
    <cellStyle name="Normal 2 6" xfId="40"/>
    <cellStyle name="Normal 3" xfId="3"/>
    <cellStyle name="Normal 3 2" xfId="19"/>
    <cellStyle name="Normal 4" xfId="7"/>
    <cellStyle name="Normal 4 2" xfId="27"/>
    <cellStyle name="Normal 5" xfId="8"/>
    <cellStyle name="Normal 5 2" xfId="21"/>
    <cellStyle name="Normal 6" xfId="9"/>
    <cellStyle name="Normal 6 2" xfId="22"/>
    <cellStyle name="Normal 7" xfId="1"/>
    <cellStyle name="Normal 8" xfId="25"/>
    <cellStyle name="Normal 9" xfId="34"/>
    <cellStyle name="Percent" xfId="12" builtinId="5"/>
    <cellStyle name="Percent 2" xfId="4"/>
    <cellStyle name="Percent 2 2" xfId="17"/>
    <cellStyle name="Percent 2 2 2" xfId="28"/>
    <cellStyle name="Percent 2 3" xfId="29"/>
    <cellStyle name="Percent 3" xfId="10"/>
    <cellStyle name="Percent 3 2" xfId="24"/>
    <cellStyle name="Percent 4" xfId="18"/>
    <cellStyle name="Title 2" xfId="41"/>
  </cellStyles>
  <dxfs count="184">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2"/>
        </patternFill>
      </fill>
    </dxf>
    <dxf>
      <fill>
        <patternFill>
          <bgColor theme="0" tint="-4.9989318521683403E-2"/>
        </patternFill>
      </fill>
      <border>
        <top style="thin">
          <color theme="0" tint="-0.14996795556505021"/>
        </top>
        <bottom style="thin">
          <color theme="0" tint="-0.14996795556505021"/>
        </bottom>
      </border>
    </dxf>
    <dxf>
      <fill>
        <patternFill>
          <bgColor theme="0" tint="-4.9989318521683403E-2"/>
        </patternFill>
      </fill>
    </dxf>
    <dxf>
      <font>
        <b/>
        <i val="0"/>
        <color rgb="FFFF0000"/>
      </font>
      <fill>
        <patternFill patternType="none">
          <bgColor auto="1"/>
        </patternFill>
      </fill>
    </dxf>
    <dxf>
      <font>
        <b/>
        <i val="0"/>
        <color rgb="FF00B050"/>
      </font>
    </dxf>
    <dxf>
      <font>
        <b/>
        <i val="0"/>
        <color rgb="FFFFCC00"/>
      </font>
    </dxf>
    <dxf>
      <font>
        <b/>
        <i val="0"/>
        <color rgb="FFFFC000"/>
      </font>
    </dxf>
    <dxf>
      <font>
        <b/>
        <i val="0"/>
        <color rgb="FFFF0000"/>
      </font>
    </dxf>
    <dxf>
      <font>
        <b/>
        <i val="0"/>
        <color rgb="FF00B050"/>
      </font>
    </dxf>
    <dxf>
      <font>
        <b/>
        <i val="0"/>
        <color rgb="FFFFC000"/>
      </font>
    </dxf>
    <dxf>
      <font>
        <b/>
        <i val="0"/>
        <color rgb="FFFF0000"/>
      </font>
    </dxf>
    <dxf>
      <font>
        <b/>
        <i val="0"/>
        <color rgb="FF00B050"/>
      </font>
    </dxf>
    <dxf>
      <font>
        <b/>
        <i val="0"/>
        <color rgb="FFFFC000"/>
      </font>
    </dxf>
    <dxf>
      <font>
        <b/>
        <i val="0"/>
        <color rgb="FFFF0000"/>
      </font>
    </dxf>
    <dxf>
      <font>
        <b/>
        <i val="0"/>
        <color rgb="FF00B050"/>
      </font>
    </dxf>
    <dxf>
      <font>
        <color rgb="FFFF0000"/>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FFC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FFC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FFC000"/>
      </font>
      <fill>
        <patternFill patternType="none">
          <bgColor auto="1"/>
        </patternFill>
      </fill>
    </dxf>
    <dxf>
      <font>
        <color rgb="FF00B05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color rgb="FFFFC000"/>
      </font>
      <fill>
        <patternFill patternType="none">
          <bgColor auto="1"/>
        </patternFill>
      </fill>
    </dxf>
    <dxf>
      <font>
        <color rgb="FFFFC000"/>
      </font>
      <fill>
        <patternFill patternType="none">
          <bgColor auto="1"/>
        </patternFill>
      </fill>
    </dxf>
    <dxf>
      <font>
        <color rgb="FFFF0000"/>
      </font>
      <fill>
        <patternFill patternType="none">
          <bgColor auto="1"/>
        </patternFill>
      </fill>
    </dxf>
    <dxf>
      <font>
        <color rgb="FF00B050"/>
      </font>
      <fill>
        <patternFill patternType="none">
          <bgColor auto="1"/>
        </patternFill>
      </fil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4"/>
        <color theme="1"/>
        <name val="Calibri"/>
        <scheme val="minor"/>
      </font>
    </dxf>
  </dxfs>
  <tableStyles count="0" defaultTableStyle="TableStyleMedium2" defaultPivotStyle="PivotStyleLight16"/>
  <colors>
    <mruColors>
      <color rgb="FFFFCC00"/>
      <color rgb="FFFFFFCC"/>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266700</xdr:rowOff>
    </xdr:from>
    <xdr:to>
      <xdr:col>3</xdr:col>
      <xdr:colOff>1518409</xdr:colOff>
      <xdr:row>0</xdr:row>
      <xdr:rowOff>3241178</xdr:rowOff>
    </xdr:to>
    <xdr:pic>
      <xdr:nvPicPr>
        <xdr:cNvPr id="4" name="Picture 3" descr="http://www.clker.com/cliparts/7/o/m/z/h/o/open-folder-blue.svg.hi.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266700"/>
          <a:ext cx="4280659" cy="2974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1346702</xdr:colOff>
      <xdr:row>0</xdr:row>
      <xdr:rowOff>1225491</xdr:rowOff>
    </xdr:from>
    <xdr:to>
      <xdr:col>3</xdr:col>
      <xdr:colOff>1156314</xdr:colOff>
      <xdr:row>0</xdr:row>
      <xdr:rowOff>2170506</xdr:rowOff>
    </xdr:to>
    <xdr:sp macro="" textlink="">
      <xdr:nvSpPr>
        <xdr:cNvPr id="5" name="TextBox 4"/>
        <xdr:cNvSpPr txBox="1"/>
      </xdr:nvSpPr>
      <xdr:spPr>
        <a:xfrm rot="19962743">
          <a:off x="1956302" y="1225491"/>
          <a:ext cx="2590912" cy="945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Internal</a:t>
          </a:r>
          <a:r>
            <a:rPr lang="en-US" sz="1800" b="1" baseline="0"/>
            <a:t> Controls Data</a:t>
          </a:r>
          <a:endParaRPr lang="en-US" sz="18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152400</xdr:colOff>
      <xdr:row>87</xdr:row>
      <xdr:rowOff>38100</xdr:rowOff>
    </xdr:from>
    <xdr:to>
      <xdr:col>1</xdr:col>
      <xdr:colOff>2809875</xdr:colOff>
      <xdr:row>90</xdr:row>
      <xdr:rowOff>47625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14154150"/>
          <a:ext cx="2657475" cy="581025"/>
        </a:xfrm>
        <a:prstGeom prst="rect">
          <a:avLst/>
        </a:prstGeom>
        <a:noFill/>
        <a:ln>
          <a:noFill/>
        </a:ln>
      </xdr:spPr>
    </xdr:pic>
    <xdr:clientData/>
  </xdr:twoCellAnchor>
  <xdr:twoCellAnchor editAs="oneCell">
    <xdr:from>
      <xdr:col>1</xdr:col>
      <xdr:colOff>152400</xdr:colOff>
      <xdr:row>87</xdr:row>
      <xdr:rowOff>38100</xdr:rowOff>
    </xdr:from>
    <xdr:to>
      <xdr:col>1</xdr:col>
      <xdr:colOff>2809875</xdr:colOff>
      <xdr:row>90</xdr:row>
      <xdr:rowOff>47625</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16440150"/>
          <a:ext cx="2657475" cy="581025"/>
        </a:xfrm>
        <a:prstGeom prst="rect">
          <a:avLst/>
        </a:prstGeom>
        <a:noFill/>
        <a:ln>
          <a:noFill/>
        </a:ln>
      </xdr:spPr>
    </xdr:pic>
    <xdr:clientData/>
  </xdr:twoCellAnchor>
</xdr:wsDr>
</file>

<file path=xl/tables/table1.xml><?xml version="1.0" encoding="utf-8"?>
<table xmlns="http://schemas.openxmlformats.org/spreadsheetml/2006/main" id="1" name="CertifyingUnits" displayName="CertifyingUnits" ref="A1:A47" totalsRowShown="0" headerRowDxfId="183" dataDxfId="182">
  <autoFilter ref="A1:A47"/>
  <tableColumns count="1">
    <tableColumn id="1" name="Unit" dataDxfId="18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9"/>
  <sheetViews>
    <sheetView showGridLines="0" tabSelected="1" workbookViewId="0">
      <selection activeCell="B4" sqref="B4:D4"/>
    </sheetView>
  </sheetViews>
  <sheetFormatPr defaultRowHeight="15" x14ac:dyDescent="0.25"/>
  <cols>
    <col min="2" max="2" width="28.7109375" customWidth="1"/>
    <col min="3" max="3" width="13" customWidth="1"/>
    <col min="4" max="4" width="28.7109375" customWidth="1"/>
  </cols>
  <sheetData>
    <row r="1" spans="2:4" s="5" customFormat="1" ht="264.75" customHeight="1" x14ac:dyDescent="0.5">
      <c r="B1" s="295"/>
    </row>
    <row r="2" spans="2:4" hidden="1" x14ac:dyDescent="0.25"/>
    <row r="3" spans="2:4" ht="18.75" x14ac:dyDescent="0.3">
      <c r="B3" s="346" t="s">
        <v>339</v>
      </c>
      <c r="C3" s="346"/>
      <c r="D3" s="346"/>
    </row>
    <row r="4" spans="2:4" ht="23.25" x14ac:dyDescent="0.35">
      <c r="B4" s="347" t="s">
        <v>9</v>
      </c>
      <c r="C4" s="347"/>
      <c r="D4" s="347"/>
    </row>
    <row r="6" spans="2:4" ht="19.5" thickBot="1" x14ac:dyDescent="0.35">
      <c r="B6" s="346" t="s">
        <v>342</v>
      </c>
      <c r="C6" s="346"/>
      <c r="D6" s="346"/>
    </row>
    <row r="7" spans="2:4" ht="57.75" customHeight="1" thickBot="1" x14ac:dyDescent="0.3">
      <c r="B7" s="296" t="s">
        <v>343</v>
      </c>
      <c r="D7" s="296" t="s">
        <v>341</v>
      </c>
    </row>
    <row r="9" spans="2:4" ht="94.5" x14ac:dyDescent="0.25">
      <c r="B9" s="297" t="s">
        <v>344</v>
      </c>
      <c r="C9" s="70"/>
      <c r="D9" s="297" t="s">
        <v>345</v>
      </c>
    </row>
  </sheetData>
  <mergeCells count="3">
    <mergeCell ref="B3:D3"/>
    <mergeCell ref="B4:D4"/>
    <mergeCell ref="B6:D6"/>
  </mergeCells>
  <hyperlinks>
    <hyperlink ref="B7" location="'Yr Over Yr Metrics and Trends'!B3" display="Report One"/>
    <hyperlink ref="D7" location="'5 Year ScoreCard'!A2" display="5 Year ScoreCard"/>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showErrorMessage="1" errorTitle="Invalid Selection" error="Please select Unit from Dropdown List">
          <x14:formula1>
            <xm:f>'Tables for Filters'!$A$2:$A$47</xm:f>
          </x14:formula1>
          <xm:sqref>B4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N54"/>
  <sheetViews>
    <sheetView workbookViewId="0">
      <pane xSplit="1" ySplit="5" topLeftCell="AB6" activePane="bottomRight" state="frozen"/>
      <selection activeCell="C8" sqref="C8"/>
      <selection pane="topRight" activeCell="C8" sqref="C8"/>
      <selection pane="bottomLeft" activeCell="C8" sqref="C8"/>
      <selection pane="bottomRight" activeCell="C8" sqref="C8"/>
    </sheetView>
  </sheetViews>
  <sheetFormatPr defaultRowHeight="15" x14ac:dyDescent="0.25"/>
  <cols>
    <col min="1" max="1" width="49.28515625" bestFit="1" customWidth="1"/>
    <col min="2" max="6" width="14.28515625" bestFit="1" customWidth="1"/>
    <col min="7" max="7" width="14.28515625" customWidth="1"/>
    <col min="8" max="8" width="2.7109375" style="5" customWidth="1"/>
    <col min="9" max="9" width="14.140625" bestFit="1" customWidth="1"/>
    <col min="10" max="10" width="6.140625" bestFit="1" customWidth="1"/>
    <col min="11" max="11" width="12.5703125" bestFit="1" customWidth="1"/>
    <col min="12" max="12" width="6.140625" bestFit="1" customWidth="1"/>
    <col min="13" max="13" width="12.5703125" bestFit="1" customWidth="1"/>
    <col min="14" max="14" width="6.140625" bestFit="1" customWidth="1"/>
    <col min="15" max="15" width="12.5703125" bestFit="1" customWidth="1"/>
    <col min="16" max="16" width="6.140625" bestFit="1" customWidth="1"/>
    <col min="17" max="17" width="12.5703125" bestFit="1" customWidth="1"/>
    <col min="18" max="18" width="6.140625" bestFit="1" customWidth="1"/>
    <col min="19" max="19" width="14.28515625" customWidth="1"/>
    <col min="20" max="20" width="7.7109375" bestFit="1" customWidth="1"/>
    <col min="21" max="21" width="2.7109375" style="5" customWidth="1"/>
    <col min="22" max="22" width="17.42578125" bestFit="1" customWidth="1"/>
    <col min="23" max="23" width="6.140625" bestFit="1" customWidth="1"/>
    <col min="24" max="24" width="11.5703125" bestFit="1" customWidth="1"/>
    <col min="25" max="25" width="5.140625" bestFit="1" customWidth="1"/>
    <col min="26" max="26" width="11.5703125" bestFit="1" customWidth="1"/>
    <col min="27" max="27" width="5.140625" bestFit="1" customWidth="1"/>
    <col min="28" max="28" width="11.5703125" bestFit="1" customWidth="1"/>
    <col min="29" max="29" width="6.140625" bestFit="1" customWidth="1"/>
    <col min="30" max="30" width="11.5703125" bestFit="1" customWidth="1"/>
    <col min="31" max="31" width="6.140625" bestFit="1" customWidth="1"/>
    <col min="32" max="32" width="14.28515625" customWidth="1"/>
    <col min="33" max="33" width="7.7109375" bestFit="1" customWidth="1"/>
    <col min="35" max="35" width="30.42578125" customWidth="1"/>
    <col min="36" max="36" width="16.85546875" style="289" bestFit="1" customWidth="1"/>
    <col min="37" max="37" width="14.28515625" style="289" bestFit="1" customWidth="1"/>
    <col min="38" max="38" width="9.140625" style="288"/>
    <col min="39" max="39" width="14.28515625" style="289" bestFit="1" customWidth="1"/>
    <col min="40" max="40" width="9.140625" style="288"/>
  </cols>
  <sheetData>
    <row r="1" spans="1:40" x14ac:dyDescent="0.25">
      <c r="A1" s="30">
        <v>1</v>
      </c>
      <c r="B1" s="30">
        <v>2</v>
      </c>
      <c r="C1" s="30">
        <v>3</v>
      </c>
      <c r="D1" s="30">
        <v>4</v>
      </c>
      <c r="E1" s="30">
        <v>5</v>
      </c>
      <c r="F1" s="30">
        <v>6</v>
      </c>
      <c r="G1" s="30">
        <v>7</v>
      </c>
      <c r="H1" s="30">
        <v>8</v>
      </c>
      <c r="I1" s="30">
        <v>9</v>
      </c>
      <c r="J1" s="30">
        <v>10</v>
      </c>
      <c r="K1" s="30">
        <v>11</v>
      </c>
      <c r="L1" s="30">
        <v>12</v>
      </c>
      <c r="M1" s="30">
        <v>13</v>
      </c>
      <c r="N1" s="30">
        <v>14</v>
      </c>
      <c r="O1" s="30">
        <v>15</v>
      </c>
      <c r="P1" s="30">
        <v>16</v>
      </c>
      <c r="Q1" s="30">
        <v>17</v>
      </c>
      <c r="R1" s="30">
        <v>18</v>
      </c>
      <c r="S1" s="30">
        <v>19</v>
      </c>
      <c r="T1" s="30">
        <v>20</v>
      </c>
      <c r="U1" s="30">
        <v>21</v>
      </c>
      <c r="V1" s="30">
        <v>22</v>
      </c>
      <c r="W1" s="30">
        <v>23</v>
      </c>
      <c r="X1" s="30">
        <v>24</v>
      </c>
      <c r="Y1" s="30">
        <v>25</v>
      </c>
      <c r="Z1" s="30">
        <v>26</v>
      </c>
      <c r="AA1" s="30">
        <v>27</v>
      </c>
      <c r="AB1" s="30">
        <v>28</v>
      </c>
      <c r="AC1" s="30">
        <v>29</v>
      </c>
      <c r="AD1" s="30">
        <v>30</v>
      </c>
      <c r="AE1" s="30">
        <v>31</v>
      </c>
      <c r="AF1" s="30">
        <v>32</v>
      </c>
      <c r="AG1" s="30">
        <v>33</v>
      </c>
    </row>
    <row r="2" spans="1:40" x14ac:dyDescent="0.25">
      <c r="B2" s="33" t="s">
        <v>137</v>
      </c>
      <c r="C2" s="33"/>
      <c r="D2" s="33"/>
      <c r="E2" s="33"/>
      <c r="F2" s="33"/>
      <c r="G2" s="33"/>
      <c r="H2" s="39"/>
      <c r="I2" s="33"/>
      <c r="J2" s="33"/>
      <c r="K2" s="33"/>
      <c r="L2" s="33"/>
      <c r="M2" s="33"/>
      <c r="N2" s="33"/>
      <c r="O2" s="33"/>
      <c r="P2" s="33"/>
      <c r="Q2" s="33"/>
      <c r="R2" s="33"/>
      <c r="S2" s="33"/>
      <c r="T2" s="33"/>
      <c r="U2" s="39"/>
      <c r="V2" s="33"/>
      <c r="W2" s="33"/>
      <c r="X2" s="33"/>
      <c r="Y2" s="33"/>
      <c r="Z2" s="33"/>
      <c r="AA2" s="33"/>
      <c r="AB2" s="33"/>
      <c r="AC2" s="33"/>
      <c r="AD2" s="33"/>
      <c r="AE2" s="33"/>
      <c r="AF2" s="33"/>
      <c r="AG2" s="33"/>
    </row>
    <row r="3" spans="1:40" x14ac:dyDescent="0.25">
      <c r="B3" s="33" t="s">
        <v>138</v>
      </c>
      <c r="C3" s="33"/>
      <c r="D3" s="33"/>
      <c r="E3" s="33"/>
      <c r="F3" s="33"/>
      <c r="G3" s="33"/>
      <c r="H3" s="39"/>
      <c r="I3" s="33" t="s">
        <v>139</v>
      </c>
      <c r="J3" s="33"/>
      <c r="K3" s="33"/>
      <c r="L3" s="33"/>
      <c r="M3" s="33"/>
      <c r="N3" s="33"/>
      <c r="O3" s="33"/>
      <c r="P3" s="33"/>
      <c r="Q3" s="33"/>
      <c r="R3" s="33"/>
      <c r="S3" s="33"/>
      <c r="T3" s="33"/>
      <c r="U3" s="39"/>
      <c r="V3" s="33" t="s">
        <v>140</v>
      </c>
      <c r="W3" s="33"/>
      <c r="X3" s="33"/>
      <c r="Y3" s="33"/>
      <c r="Z3" s="33"/>
      <c r="AA3" s="33"/>
      <c r="AB3" s="33"/>
      <c r="AC3" s="33"/>
      <c r="AD3" s="33"/>
      <c r="AE3" s="33"/>
      <c r="AF3" s="33"/>
      <c r="AG3" s="33"/>
    </row>
    <row r="4" spans="1:40" x14ac:dyDescent="0.25">
      <c r="B4" s="16">
        <v>2014</v>
      </c>
      <c r="C4" s="16">
        <v>2015</v>
      </c>
      <c r="D4" s="16">
        <v>2016</v>
      </c>
      <c r="E4" s="16">
        <v>2017</v>
      </c>
      <c r="F4" s="16">
        <v>2018</v>
      </c>
      <c r="G4" s="16">
        <v>2019</v>
      </c>
      <c r="H4" s="39"/>
      <c r="I4" s="16">
        <v>2014</v>
      </c>
      <c r="J4" s="16">
        <v>2014</v>
      </c>
      <c r="K4" s="16">
        <v>2015</v>
      </c>
      <c r="L4" s="16">
        <v>2015</v>
      </c>
      <c r="M4" s="16">
        <v>2016</v>
      </c>
      <c r="N4" s="16">
        <v>2016</v>
      </c>
      <c r="O4" s="16">
        <v>2017</v>
      </c>
      <c r="P4" s="16">
        <v>2017</v>
      </c>
      <c r="Q4" s="16">
        <v>2018</v>
      </c>
      <c r="R4" s="16">
        <v>2018</v>
      </c>
      <c r="S4" s="16">
        <v>2019</v>
      </c>
      <c r="T4" s="16">
        <v>2019</v>
      </c>
      <c r="U4" s="39"/>
      <c r="V4" s="16">
        <v>2014</v>
      </c>
      <c r="W4" s="16">
        <v>2014</v>
      </c>
      <c r="X4" s="16">
        <v>2015</v>
      </c>
      <c r="Y4" s="16">
        <v>2015</v>
      </c>
      <c r="Z4" s="16">
        <v>2016</v>
      </c>
      <c r="AA4" s="16">
        <v>2016</v>
      </c>
      <c r="AB4" s="16">
        <v>2017</v>
      </c>
      <c r="AC4" s="16">
        <v>2017</v>
      </c>
      <c r="AD4" s="16">
        <v>2018</v>
      </c>
      <c r="AE4" s="16">
        <v>2018</v>
      </c>
      <c r="AF4" s="16">
        <v>2019</v>
      </c>
      <c r="AG4" s="16">
        <v>2019</v>
      </c>
    </row>
    <row r="5" spans="1:40" ht="75" x14ac:dyDescent="0.25">
      <c r="A5" s="41" t="s">
        <v>45</v>
      </c>
      <c r="B5" s="42" t="s">
        <v>50</v>
      </c>
      <c r="C5" s="42" t="s">
        <v>50</v>
      </c>
      <c r="D5" s="42" t="s">
        <v>50</v>
      </c>
      <c r="E5" s="42" t="s">
        <v>50</v>
      </c>
      <c r="F5" s="42" t="s">
        <v>50</v>
      </c>
      <c r="G5" s="42" t="s">
        <v>50</v>
      </c>
      <c r="H5" s="124"/>
      <c r="I5" s="42" t="s">
        <v>50</v>
      </c>
      <c r="J5" s="42" t="s">
        <v>52</v>
      </c>
      <c r="K5" s="42" t="s">
        <v>50</v>
      </c>
      <c r="L5" s="42" t="s">
        <v>52</v>
      </c>
      <c r="M5" s="42" t="s">
        <v>50</v>
      </c>
      <c r="N5" s="42" t="s">
        <v>52</v>
      </c>
      <c r="O5" s="42" t="s">
        <v>50</v>
      </c>
      <c r="P5" s="42" t="s">
        <v>52</v>
      </c>
      <c r="Q5" s="42" t="s">
        <v>50</v>
      </c>
      <c r="R5" s="42" t="s">
        <v>52</v>
      </c>
      <c r="S5" s="42" t="s">
        <v>50</v>
      </c>
      <c r="T5" s="42" t="s">
        <v>52</v>
      </c>
      <c r="U5" s="124"/>
      <c r="V5" s="42" t="s">
        <v>50</v>
      </c>
      <c r="W5" s="42" t="s">
        <v>52</v>
      </c>
      <c r="X5" s="42" t="s">
        <v>50</v>
      </c>
      <c r="Y5" s="42" t="s">
        <v>52</v>
      </c>
      <c r="Z5" s="42" t="s">
        <v>50</v>
      </c>
      <c r="AA5" s="42" t="s">
        <v>52</v>
      </c>
      <c r="AB5" s="42" t="s">
        <v>50</v>
      </c>
      <c r="AC5" s="42" t="s">
        <v>52</v>
      </c>
      <c r="AD5" s="42" t="s">
        <v>50</v>
      </c>
      <c r="AE5" s="42" t="s">
        <v>52</v>
      </c>
      <c r="AF5" s="42" t="s">
        <v>50</v>
      </c>
      <c r="AG5" s="42" t="s">
        <v>52</v>
      </c>
      <c r="AI5" s="44" t="s">
        <v>407</v>
      </c>
      <c r="AJ5" s="345" t="s">
        <v>332</v>
      </c>
      <c r="AK5" s="345" t="s">
        <v>408</v>
      </c>
      <c r="AL5" s="344" t="s">
        <v>409</v>
      </c>
      <c r="AM5" s="345" t="s">
        <v>410</v>
      </c>
      <c r="AN5" s="344" t="s">
        <v>411</v>
      </c>
    </row>
    <row r="6" spans="1:40" x14ac:dyDescent="0.25">
      <c r="A6" s="17" t="s">
        <v>0</v>
      </c>
      <c r="B6" s="36">
        <v>12009741</v>
      </c>
      <c r="C6" s="36">
        <v>12710730.58</v>
      </c>
      <c r="D6" s="36">
        <v>12432804.48</v>
      </c>
      <c r="E6" s="109">
        <v>12649495.829999998</v>
      </c>
      <c r="F6" s="109">
        <v>13185040.559999999</v>
      </c>
      <c r="G6" s="115">
        <v>13878045.92</v>
      </c>
      <c r="H6" s="38"/>
      <c r="I6" s="36">
        <v>687253</v>
      </c>
      <c r="J6" s="27">
        <v>5.7224631238925135E-2</v>
      </c>
      <c r="K6" s="36">
        <v>1334751.46</v>
      </c>
      <c r="L6" s="27">
        <v>0.10500981447126227</v>
      </c>
      <c r="M6" s="36">
        <v>804842.89999999991</v>
      </c>
      <c r="N6" s="27">
        <v>6.473542645142602E-2</v>
      </c>
      <c r="O6" s="109">
        <v>362037.18</v>
      </c>
      <c r="P6" s="27">
        <v>2.8620680607789887E-2</v>
      </c>
      <c r="Q6" s="109">
        <v>945187.65000000014</v>
      </c>
      <c r="R6" s="27">
        <v>7.1686366507468693E-2</v>
      </c>
      <c r="S6" s="115">
        <v>886415.30000000016</v>
      </c>
      <c r="T6" s="104">
        <f t="shared" ref="T6:T21" si="0">S6/G6</f>
        <v>6.3871765889069787E-2</v>
      </c>
      <c r="U6" s="38"/>
      <c r="V6" s="36">
        <v>116462</v>
      </c>
      <c r="W6" s="27">
        <v>9.6972948875417055E-3</v>
      </c>
      <c r="X6" s="36">
        <v>347621.30000000005</v>
      </c>
      <c r="Y6" s="27">
        <v>2.7348648278878084E-2</v>
      </c>
      <c r="Z6" s="36">
        <v>169937.93</v>
      </c>
      <c r="AA6" s="27">
        <v>1.3668511418591857E-2</v>
      </c>
      <c r="AB6" s="109">
        <v>114238.96999999999</v>
      </c>
      <c r="AC6" s="27">
        <v>8.9876006167381121E-3</v>
      </c>
      <c r="AD6" s="109">
        <v>307507.40000000002</v>
      </c>
      <c r="AE6" s="27">
        <v>2.3322446267848268E-2</v>
      </c>
      <c r="AF6" s="115">
        <v>203517.56</v>
      </c>
      <c r="AG6" s="104">
        <f t="shared" ref="AG6:AG51" si="1">AF6/G6</f>
        <v>1.4664712969907798E-2</v>
      </c>
      <c r="AH6" s="214" t="str">
        <f>IF(AI6=A6,"OK","No")</f>
        <v>OK</v>
      </c>
      <c r="AI6" t="s">
        <v>0</v>
      </c>
      <c r="AJ6" s="289">
        <v>13878045.92</v>
      </c>
      <c r="AK6" s="289">
        <v>886415.30000000016</v>
      </c>
      <c r="AL6" s="288">
        <v>6.3871765889069787E-2</v>
      </c>
      <c r="AM6" s="289">
        <v>203517.56</v>
      </c>
      <c r="AN6" s="288">
        <v>1.4664712969907798E-2</v>
      </c>
    </row>
    <row r="7" spans="1:40" x14ac:dyDescent="0.25">
      <c r="A7" s="17" t="s">
        <v>26</v>
      </c>
      <c r="B7" s="36">
        <v>43031995</v>
      </c>
      <c r="C7" s="36">
        <v>49167283.969999999</v>
      </c>
      <c r="D7" s="36">
        <v>49526312.429999992</v>
      </c>
      <c r="E7" s="109">
        <v>50322043.169999979</v>
      </c>
      <c r="F7" s="109">
        <v>54912298.190000013</v>
      </c>
      <c r="G7" s="115">
        <v>56624244.56000001</v>
      </c>
      <c r="H7" s="38"/>
      <c r="I7" s="36">
        <v>409886</v>
      </c>
      <c r="J7" s="27">
        <v>9.5251451855764523E-3</v>
      </c>
      <c r="K7" s="36">
        <v>165280.56</v>
      </c>
      <c r="L7" s="27">
        <v>3.3615963025504497E-3</v>
      </c>
      <c r="M7" s="36">
        <v>146671.35</v>
      </c>
      <c r="N7" s="27">
        <v>2.9614833571004074E-3</v>
      </c>
      <c r="O7" s="109">
        <v>61809.47</v>
      </c>
      <c r="P7" s="27">
        <v>1.2282782277180744E-3</v>
      </c>
      <c r="Q7" s="109">
        <v>357417.02999999997</v>
      </c>
      <c r="R7" s="27">
        <v>6.5088703583906565E-3</v>
      </c>
      <c r="S7" s="115">
        <v>58747.360000000001</v>
      </c>
      <c r="T7" s="104">
        <f t="shared" si="0"/>
        <v>1.0374948126283662E-3</v>
      </c>
      <c r="U7" s="38"/>
      <c r="V7" s="36">
        <v>21065</v>
      </c>
      <c r="W7" s="27">
        <v>4.8951948428140502E-4</v>
      </c>
      <c r="X7" s="36">
        <v>4781.25</v>
      </c>
      <c r="Y7" s="27">
        <v>9.7244541775326376E-5</v>
      </c>
      <c r="Z7" s="36">
        <v>70466.45</v>
      </c>
      <c r="AA7" s="27">
        <v>1.422808332431303E-3</v>
      </c>
      <c r="AB7" s="109">
        <v>0</v>
      </c>
      <c r="AC7" s="27">
        <v>0</v>
      </c>
      <c r="AD7" s="109">
        <v>165616.91999999998</v>
      </c>
      <c r="AE7" s="27">
        <v>3.0160260171037644E-3</v>
      </c>
      <c r="AF7" s="115">
        <v>17309.02</v>
      </c>
      <c r="AG7" s="104">
        <f t="shared" si="1"/>
        <v>3.0568213553222893E-4</v>
      </c>
      <c r="AH7" s="214" t="str">
        <f t="shared" ref="AH7:AH51" si="2">IF(AI7=A7,"OK","No")</f>
        <v>OK</v>
      </c>
      <c r="AI7" t="s">
        <v>26</v>
      </c>
      <c r="AJ7" s="289">
        <v>56624244.56000001</v>
      </c>
      <c r="AK7" s="289">
        <v>58747.360000000001</v>
      </c>
      <c r="AL7" s="288">
        <v>1.0374948126283662E-3</v>
      </c>
      <c r="AM7" s="289">
        <v>17309.02</v>
      </c>
      <c r="AN7" s="288">
        <v>3.0568213553222893E-4</v>
      </c>
    </row>
    <row r="8" spans="1:40" x14ac:dyDescent="0.25">
      <c r="A8" s="17" t="s">
        <v>1</v>
      </c>
      <c r="B8" s="36">
        <v>169961832</v>
      </c>
      <c r="C8" s="36">
        <v>175322416.13999996</v>
      </c>
      <c r="D8" s="36">
        <v>186505013.85000005</v>
      </c>
      <c r="E8" s="109">
        <v>197170909.93000013</v>
      </c>
      <c r="F8" s="109">
        <v>205814513.16999999</v>
      </c>
      <c r="G8" s="115">
        <v>222096955.73999998</v>
      </c>
      <c r="H8" s="38"/>
      <c r="I8" s="36">
        <v>14893937</v>
      </c>
      <c r="J8" s="27">
        <v>8.7631068839032045E-2</v>
      </c>
      <c r="K8" s="36">
        <v>14803640.490000006</v>
      </c>
      <c r="L8" s="27">
        <v>8.4436667118361383E-2</v>
      </c>
      <c r="M8" s="36">
        <v>18756161.540000003</v>
      </c>
      <c r="N8" s="27">
        <v>0.10056652715559151</v>
      </c>
      <c r="O8" s="109">
        <v>19718070.820000004</v>
      </c>
      <c r="P8" s="27">
        <v>0.10000496942982279</v>
      </c>
      <c r="Q8" s="109">
        <v>18244188.780000001</v>
      </c>
      <c r="R8" s="27">
        <v>8.8643840023713727E-2</v>
      </c>
      <c r="S8" s="115">
        <v>19492575.310000066</v>
      </c>
      <c r="T8" s="104">
        <f t="shared" si="0"/>
        <v>8.7766062551614815E-2</v>
      </c>
      <c r="U8" s="38"/>
      <c r="V8" s="36">
        <v>2936376</v>
      </c>
      <c r="W8" s="27">
        <v>1.7276678919299952E-2</v>
      </c>
      <c r="X8" s="36">
        <v>2715810.01</v>
      </c>
      <c r="Y8" s="27">
        <v>1.5490375217230339E-2</v>
      </c>
      <c r="Z8" s="36">
        <v>4236985.1899999995</v>
      </c>
      <c r="AA8" s="27">
        <v>2.2717808505714861E-2</v>
      </c>
      <c r="AB8" s="109">
        <v>3621757.5300000003</v>
      </c>
      <c r="AC8" s="27">
        <v>2.0657698027090405E-2</v>
      </c>
      <c r="AD8" s="109">
        <v>3433053.7200000007</v>
      </c>
      <c r="AE8" s="27">
        <v>1.6680328647010158E-2</v>
      </c>
      <c r="AF8" s="115">
        <v>2861051.3699999992</v>
      </c>
      <c r="AG8" s="104">
        <f t="shared" si="1"/>
        <v>1.288199273361188E-2</v>
      </c>
      <c r="AH8" s="214" t="str">
        <f t="shared" si="2"/>
        <v>OK</v>
      </c>
      <c r="AI8" t="s">
        <v>1</v>
      </c>
      <c r="AJ8" s="289">
        <v>222096955.73999998</v>
      </c>
      <c r="AK8" s="289">
        <v>19492575.310000066</v>
      </c>
      <c r="AL8" s="288">
        <v>8.7766062551614815E-2</v>
      </c>
      <c r="AM8" s="289">
        <v>2861051.3699999992</v>
      </c>
      <c r="AN8" s="288">
        <v>1.288199273361188E-2</v>
      </c>
    </row>
    <row r="9" spans="1:40" x14ac:dyDescent="0.25">
      <c r="A9" s="17" t="s">
        <v>2</v>
      </c>
      <c r="B9" s="36">
        <v>245659675</v>
      </c>
      <c r="C9" s="36">
        <v>252072867.04000002</v>
      </c>
      <c r="D9" s="36">
        <v>261337948.66000003</v>
      </c>
      <c r="E9" s="109">
        <v>276517597.00999999</v>
      </c>
      <c r="F9" s="109">
        <v>289788585.03999972</v>
      </c>
      <c r="G9" s="115">
        <v>302789571.60999995</v>
      </c>
      <c r="H9" s="38"/>
      <c r="I9" s="36">
        <v>14533608</v>
      </c>
      <c r="J9" s="27">
        <v>5.9161553478404627E-2</v>
      </c>
      <c r="K9" s="36">
        <v>15287884.270000003</v>
      </c>
      <c r="L9" s="27">
        <v>6.0648670559112793E-2</v>
      </c>
      <c r="M9" s="36">
        <v>13627511.07</v>
      </c>
      <c r="N9" s="27">
        <v>5.2145167358489355E-2</v>
      </c>
      <c r="O9" s="109">
        <v>14849705.91</v>
      </c>
      <c r="P9" s="27">
        <v>5.3702571086146733E-2</v>
      </c>
      <c r="Q9" s="109">
        <v>12251112.340000002</v>
      </c>
      <c r="R9" s="27">
        <v>4.2276034918038517E-2</v>
      </c>
      <c r="S9" s="115">
        <v>15394524.750000043</v>
      </c>
      <c r="T9" s="104">
        <f t="shared" si="0"/>
        <v>5.0842321511087411E-2</v>
      </c>
      <c r="U9" s="38"/>
      <c r="V9" s="36">
        <v>4768616</v>
      </c>
      <c r="W9" s="27">
        <v>1.9411472395703528E-2</v>
      </c>
      <c r="X9" s="36">
        <v>5253451.17</v>
      </c>
      <c r="Y9" s="27">
        <v>2.0841002174051361E-2</v>
      </c>
      <c r="Z9" s="36">
        <v>3770319.2999999993</v>
      </c>
      <c r="AA9" s="27">
        <v>1.4426987428852803E-2</v>
      </c>
      <c r="AB9" s="109">
        <v>3658315.43</v>
      </c>
      <c r="AC9" s="27">
        <v>1.4512928237609496E-2</v>
      </c>
      <c r="AD9" s="109">
        <v>2580453.16</v>
      </c>
      <c r="AE9" s="27">
        <v>8.9046059548681614E-3</v>
      </c>
      <c r="AF9" s="115">
        <v>4493795.6499999948</v>
      </c>
      <c r="AG9" s="104">
        <f t="shared" si="1"/>
        <v>1.4841315789396171E-2</v>
      </c>
      <c r="AH9" s="214" t="str">
        <f t="shared" si="2"/>
        <v>OK</v>
      </c>
      <c r="AI9" t="s">
        <v>2</v>
      </c>
      <c r="AJ9" s="289">
        <v>302789571.60999995</v>
      </c>
      <c r="AK9" s="289">
        <v>15394524.750000043</v>
      </c>
      <c r="AL9" s="288">
        <v>5.0842321511087411E-2</v>
      </c>
      <c r="AM9" s="289">
        <v>4493795.6499999948</v>
      </c>
      <c r="AN9" s="288">
        <v>1.4841315789396171E-2</v>
      </c>
    </row>
    <row r="10" spans="1:40" x14ac:dyDescent="0.25">
      <c r="A10" s="17" t="s">
        <v>3</v>
      </c>
      <c r="B10" s="36">
        <v>13383340</v>
      </c>
      <c r="C10" s="36">
        <v>14270982.710000001</v>
      </c>
      <c r="D10" s="36">
        <v>14908986.080000002</v>
      </c>
      <c r="E10" s="109">
        <v>16985109.920000002</v>
      </c>
      <c r="F10" s="109">
        <v>18654367.02</v>
      </c>
      <c r="G10" s="115">
        <v>19389770.449999999</v>
      </c>
      <c r="H10" s="38"/>
      <c r="I10" s="36">
        <v>1135699</v>
      </c>
      <c r="J10" s="27">
        <v>8.4859160717728158E-2</v>
      </c>
      <c r="K10" s="36">
        <v>1074281.1300000001</v>
      </c>
      <c r="L10" s="27">
        <v>7.5277305833131372E-2</v>
      </c>
      <c r="M10" s="36">
        <v>1308379.53</v>
      </c>
      <c r="N10" s="27">
        <v>8.7757780641780567E-2</v>
      </c>
      <c r="O10" s="109">
        <v>2070858.76</v>
      </c>
      <c r="P10" s="27">
        <v>0.12192201108816844</v>
      </c>
      <c r="Q10" s="109">
        <v>2395799.34</v>
      </c>
      <c r="R10" s="27">
        <v>0.12843101765025741</v>
      </c>
      <c r="S10" s="115">
        <v>1522995.0799999989</v>
      </c>
      <c r="T10" s="104">
        <f t="shared" si="0"/>
        <v>7.854631822111123E-2</v>
      </c>
      <c r="U10" s="38"/>
      <c r="V10" s="36">
        <v>101780</v>
      </c>
      <c r="W10" s="27">
        <v>7.6049775317671075E-3</v>
      </c>
      <c r="X10" s="36">
        <v>88026.46</v>
      </c>
      <c r="Y10" s="27">
        <v>6.1682129247005446E-3</v>
      </c>
      <c r="Z10" s="36">
        <v>226999.21000000002</v>
      </c>
      <c r="AA10" s="27">
        <v>1.5225663823277242E-2</v>
      </c>
      <c r="AB10" s="109">
        <v>374717.75</v>
      </c>
      <c r="AC10" s="27">
        <v>2.6257319318131245E-2</v>
      </c>
      <c r="AD10" s="109">
        <v>650795.63</v>
      </c>
      <c r="AE10" s="27">
        <v>3.4887039013559627E-2</v>
      </c>
      <c r="AF10" s="115">
        <v>333366.76000000007</v>
      </c>
      <c r="AG10" s="104">
        <f t="shared" si="1"/>
        <v>1.7192919372596288E-2</v>
      </c>
      <c r="AH10" s="214" t="str">
        <f t="shared" si="2"/>
        <v>OK</v>
      </c>
      <c r="AI10" t="s">
        <v>3</v>
      </c>
      <c r="AJ10" s="289">
        <v>19389770.449999999</v>
      </c>
      <c r="AK10" s="289">
        <v>1522995.0799999989</v>
      </c>
      <c r="AL10" s="288">
        <v>7.854631822111123E-2</v>
      </c>
      <c r="AM10" s="289">
        <v>333366.76000000007</v>
      </c>
      <c r="AN10" s="288">
        <v>1.7192919372596288E-2</v>
      </c>
    </row>
    <row r="11" spans="1:40" x14ac:dyDescent="0.25">
      <c r="A11" s="17" t="s">
        <v>33</v>
      </c>
      <c r="B11" s="36">
        <v>18215748</v>
      </c>
      <c r="C11" s="36">
        <v>19473959.650000002</v>
      </c>
      <c r="D11" s="36">
        <v>20309420.260000002</v>
      </c>
      <c r="E11" s="109">
        <v>21242056.77</v>
      </c>
      <c r="F11" s="109">
        <v>21711226.879999999</v>
      </c>
      <c r="G11" s="115">
        <v>23600487.839999996</v>
      </c>
      <c r="H11" s="38"/>
      <c r="I11" s="36">
        <v>310097</v>
      </c>
      <c r="J11" s="27">
        <v>1.7023566641347916E-2</v>
      </c>
      <c r="K11" s="36">
        <v>57798.6</v>
      </c>
      <c r="L11" s="27">
        <v>2.9679942363442244E-3</v>
      </c>
      <c r="M11" s="36">
        <v>24437.48</v>
      </c>
      <c r="N11" s="27">
        <v>1.2032583740526721E-3</v>
      </c>
      <c r="O11" s="109">
        <v>87179.709999999992</v>
      </c>
      <c r="P11" s="27">
        <v>4.1041087002047401E-3</v>
      </c>
      <c r="Q11" s="109">
        <v>51456.1</v>
      </c>
      <c r="R11" s="27">
        <v>2.3700226746467493E-3</v>
      </c>
      <c r="S11" s="115"/>
      <c r="T11" s="104">
        <f t="shared" si="0"/>
        <v>0</v>
      </c>
      <c r="U11" s="38"/>
      <c r="V11" s="36">
        <v>211032</v>
      </c>
      <c r="W11" s="27">
        <v>1.1585140505896327E-2</v>
      </c>
      <c r="X11" s="36">
        <v>7345</v>
      </c>
      <c r="Y11" s="27">
        <v>3.7717034090701732E-4</v>
      </c>
      <c r="Z11" s="36">
        <v>738.45999999999913</v>
      </c>
      <c r="AA11" s="27">
        <v>3.6360466746282151E-5</v>
      </c>
      <c r="AB11" s="109">
        <v>0</v>
      </c>
      <c r="AC11" s="27">
        <v>0</v>
      </c>
      <c r="AD11" s="109">
        <v>450</v>
      </c>
      <c r="AE11" s="27">
        <v>2.0726603912675802E-5</v>
      </c>
      <c r="AF11" s="115"/>
      <c r="AG11" s="104">
        <f t="shared" si="1"/>
        <v>0</v>
      </c>
      <c r="AH11" s="214" t="str">
        <f t="shared" si="2"/>
        <v>OK</v>
      </c>
      <c r="AI11" t="s">
        <v>33</v>
      </c>
      <c r="AJ11" s="289">
        <v>23600487.839999996</v>
      </c>
      <c r="AL11" s="288">
        <v>0</v>
      </c>
      <c r="AN11" s="288">
        <v>0</v>
      </c>
    </row>
    <row r="12" spans="1:40" x14ac:dyDescent="0.25">
      <c r="A12" s="17" t="s">
        <v>23</v>
      </c>
      <c r="B12" s="36">
        <v>70188832</v>
      </c>
      <c r="C12" s="36">
        <v>72221941.600000009</v>
      </c>
      <c r="D12" s="36">
        <v>73986756.989999995</v>
      </c>
      <c r="E12" s="109">
        <v>73936116.529999986</v>
      </c>
      <c r="F12" s="109">
        <v>149054346.63</v>
      </c>
      <c r="G12" s="115">
        <v>165420646.14000008</v>
      </c>
      <c r="H12" s="38"/>
      <c r="I12" s="36">
        <v>1238839</v>
      </c>
      <c r="J12" s="27">
        <v>1.7650087124971677E-2</v>
      </c>
      <c r="K12" s="36">
        <v>736065.43000000017</v>
      </c>
      <c r="L12" s="27">
        <v>1.0191714784915172E-2</v>
      </c>
      <c r="M12" s="36">
        <v>318036.08000000007</v>
      </c>
      <c r="N12" s="27">
        <v>4.298554132369738E-3</v>
      </c>
      <c r="O12" s="109">
        <v>722030.58000000007</v>
      </c>
      <c r="P12" s="27">
        <v>9.7656005466155663E-3</v>
      </c>
      <c r="Q12" s="109">
        <v>1294688.8900000004</v>
      </c>
      <c r="R12" s="27">
        <v>8.6860190210610051E-3</v>
      </c>
      <c r="S12" s="115">
        <v>1318445.74</v>
      </c>
      <c r="T12" s="104">
        <f t="shared" si="0"/>
        <v>7.9702610935527534E-3</v>
      </c>
      <c r="U12" s="38"/>
      <c r="V12" s="36">
        <v>-30031</v>
      </c>
      <c r="W12" s="27">
        <v>-4.2786009033459908E-4</v>
      </c>
      <c r="X12" s="36">
        <v>178064.8</v>
      </c>
      <c r="Y12" s="27">
        <v>2.4655221952659323E-3</v>
      </c>
      <c r="Z12" s="36">
        <v>35703.01</v>
      </c>
      <c r="AA12" s="27">
        <v>4.8255946675464635E-4</v>
      </c>
      <c r="AB12" s="109">
        <v>75399.97</v>
      </c>
      <c r="AC12" s="27">
        <v>1.0440036411316861E-3</v>
      </c>
      <c r="AD12" s="109">
        <v>326302.28000000003</v>
      </c>
      <c r="AE12" s="27">
        <v>2.1891497120173587E-3</v>
      </c>
      <c r="AF12" s="115">
        <v>391341.23999999993</v>
      </c>
      <c r="AG12" s="104">
        <f t="shared" si="1"/>
        <v>2.3657339584370685E-3</v>
      </c>
      <c r="AH12" s="214" t="str">
        <f t="shared" si="2"/>
        <v>No</v>
      </c>
      <c r="AI12" t="s">
        <v>384</v>
      </c>
      <c r="AJ12" s="289">
        <v>165420646.14000008</v>
      </c>
      <c r="AK12" s="289">
        <v>1318445.74</v>
      </c>
      <c r="AL12" s="288">
        <v>7.9702610935527534E-3</v>
      </c>
      <c r="AM12" s="289">
        <v>391341.23999999993</v>
      </c>
      <c r="AN12" s="288">
        <v>2.3657339584370685E-3</v>
      </c>
    </row>
    <row r="13" spans="1:40" x14ac:dyDescent="0.25">
      <c r="A13" s="17" t="s">
        <v>4</v>
      </c>
      <c r="B13" s="36">
        <v>40266832</v>
      </c>
      <c r="C13" s="36">
        <v>42531568.030000001</v>
      </c>
      <c r="D13" s="36">
        <v>45802925.299999997</v>
      </c>
      <c r="E13" s="109">
        <v>47273301.709999993</v>
      </c>
      <c r="F13" s="109">
        <v>50222916.100000009</v>
      </c>
      <c r="G13" s="115">
        <v>54460374.409999996</v>
      </c>
      <c r="H13" s="38"/>
      <c r="I13" s="36">
        <v>1258063</v>
      </c>
      <c r="J13" s="27">
        <v>3.1243158140675183E-2</v>
      </c>
      <c r="K13" s="36">
        <v>1246648.8299999998</v>
      </c>
      <c r="L13" s="27">
        <v>2.9311141999765106E-2</v>
      </c>
      <c r="M13" s="36">
        <v>1686189.36</v>
      </c>
      <c r="N13" s="27">
        <v>3.6814010217814629E-2</v>
      </c>
      <c r="O13" s="109">
        <v>1458583.32</v>
      </c>
      <c r="P13" s="27">
        <v>3.0854272226377148E-2</v>
      </c>
      <c r="Q13" s="109">
        <v>802844.45999999985</v>
      </c>
      <c r="R13" s="27">
        <v>1.5985620157966091E-2</v>
      </c>
      <c r="S13" s="115">
        <v>991236.73000000184</v>
      </c>
      <c r="T13" s="104">
        <f t="shared" si="0"/>
        <v>1.8201063447297772E-2</v>
      </c>
      <c r="U13" s="38"/>
      <c r="V13" s="36">
        <v>441488</v>
      </c>
      <c r="W13" s="27">
        <v>1.096406094226633E-2</v>
      </c>
      <c r="X13" s="36">
        <v>286375.50999999995</v>
      </c>
      <c r="Y13" s="27">
        <v>6.7332459926707283E-3</v>
      </c>
      <c r="Z13" s="36">
        <v>440944.69</v>
      </c>
      <c r="AA13" s="27">
        <v>9.6269984310368931E-3</v>
      </c>
      <c r="AB13" s="109">
        <v>154243.96</v>
      </c>
      <c r="AC13" s="27">
        <v>3.6265759092446981E-3</v>
      </c>
      <c r="AD13" s="109">
        <v>95101.640000000014</v>
      </c>
      <c r="AE13" s="27">
        <v>1.8935905635316145E-3</v>
      </c>
      <c r="AF13" s="115">
        <v>138088.62</v>
      </c>
      <c r="AG13" s="104">
        <f t="shared" si="1"/>
        <v>2.5355797035182376E-3</v>
      </c>
      <c r="AH13" s="214" t="str">
        <f t="shared" si="2"/>
        <v>OK</v>
      </c>
      <c r="AI13" t="s">
        <v>4</v>
      </c>
      <c r="AJ13" s="289">
        <v>54460374.409999996</v>
      </c>
      <c r="AK13" s="289">
        <v>991236.73000000184</v>
      </c>
      <c r="AL13" s="288">
        <v>1.8201063447297772E-2</v>
      </c>
      <c r="AM13" s="289">
        <v>138088.62</v>
      </c>
      <c r="AN13" s="288">
        <v>2.5355797035182376E-3</v>
      </c>
    </row>
    <row r="14" spans="1:40" x14ac:dyDescent="0.25">
      <c r="A14" s="17" t="s">
        <v>28</v>
      </c>
      <c r="B14" s="36">
        <v>109217666</v>
      </c>
      <c r="C14" s="36">
        <v>109890101.61000004</v>
      </c>
      <c r="D14" s="36">
        <v>110570502.86</v>
      </c>
      <c r="E14" s="109">
        <v>114691866.56999999</v>
      </c>
      <c r="F14" s="109">
        <v>118899107.73999998</v>
      </c>
      <c r="G14" s="115">
        <v>122507200.63000001</v>
      </c>
      <c r="H14" s="38"/>
      <c r="I14" s="36">
        <v>565348</v>
      </c>
      <c r="J14" s="27">
        <v>5.1763420763816723E-3</v>
      </c>
      <c r="K14" s="36">
        <v>130140.02</v>
      </c>
      <c r="L14" s="27">
        <v>1.1842742712338816E-3</v>
      </c>
      <c r="M14" s="36">
        <v>268325.40000000002</v>
      </c>
      <c r="N14" s="27">
        <v>2.4267358206712963E-3</v>
      </c>
      <c r="O14" s="109">
        <v>130226.99</v>
      </c>
      <c r="P14" s="27">
        <v>1.1354509599904232E-3</v>
      </c>
      <c r="Q14" s="109">
        <v>524275.14999999997</v>
      </c>
      <c r="R14" s="27">
        <v>4.4094119793266001E-3</v>
      </c>
      <c r="S14" s="115">
        <v>60823.760000000009</v>
      </c>
      <c r="T14" s="104">
        <f t="shared" si="0"/>
        <v>4.9649130571272938E-4</v>
      </c>
      <c r="U14" s="38"/>
      <c r="V14" s="36">
        <v>160383</v>
      </c>
      <c r="W14" s="27">
        <v>1.4684712269899633E-3</v>
      </c>
      <c r="X14" s="36">
        <v>28691.74</v>
      </c>
      <c r="Y14" s="27">
        <v>2.6109485367323601E-4</v>
      </c>
      <c r="Z14" s="36">
        <v>100848.97999999998</v>
      </c>
      <c r="AA14" s="27">
        <v>9.1207851453557168E-4</v>
      </c>
      <c r="AB14" s="109">
        <v>40349.089999999997</v>
      </c>
      <c r="AC14" s="27">
        <v>3.6717674666640051E-4</v>
      </c>
      <c r="AD14" s="109">
        <v>164854</v>
      </c>
      <c r="AE14" s="27">
        <v>1.3865032558569815E-3</v>
      </c>
      <c r="AF14" s="115">
        <v>10739.130000000001</v>
      </c>
      <c r="AG14" s="104">
        <f t="shared" si="1"/>
        <v>8.7661214563498601E-5</v>
      </c>
      <c r="AH14" s="214" t="str">
        <f t="shared" si="2"/>
        <v>OK</v>
      </c>
      <c r="AI14" t="s">
        <v>28</v>
      </c>
      <c r="AJ14" s="289">
        <v>122507200.63000001</v>
      </c>
      <c r="AK14" s="289">
        <v>60823.760000000009</v>
      </c>
      <c r="AL14" s="288">
        <v>4.9649130571272938E-4</v>
      </c>
      <c r="AM14" s="289">
        <v>10739.130000000001</v>
      </c>
      <c r="AN14" s="288">
        <v>8.7661214563498601E-5</v>
      </c>
    </row>
    <row r="15" spans="1:40" x14ac:dyDescent="0.25">
      <c r="A15" s="17" t="s">
        <v>29</v>
      </c>
      <c r="B15" s="36">
        <v>26744823</v>
      </c>
      <c r="C15" s="36">
        <v>25147196.75</v>
      </c>
      <c r="D15" s="36">
        <v>23440943.269999996</v>
      </c>
      <c r="E15" s="109">
        <v>23570841.099999998</v>
      </c>
      <c r="F15" s="109">
        <v>25574825.060000002</v>
      </c>
      <c r="G15" s="115">
        <v>26491684.270000003</v>
      </c>
      <c r="H15" s="38"/>
      <c r="I15" s="36">
        <v>56197</v>
      </c>
      <c r="J15" s="27">
        <v>2.1012290864665657E-3</v>
      </c>
      <c r="K15" s="36">
        <v>55510.43</v>
      </c>
      <c r="L15" s="27">
        <v>2.2074201968455987E-3</v>
      </c>
      <c r="M15" s="36">
        <v>4007.98</v>
      </c>
      <c r="N15" s="27">
        <v>1.7098202720918068E-4</v>
      </c>
      <c r="O15" s="109">
        <v>257545.45</v>
      </c>
      <c r="P15" s="27">
        <v>1.092644292612876E-2</v>
      </c>
      <c r="Q15" s="109">
        <v>270421.46999999997</v>
      </c>
      <c r="R15" s="27">
        <v>1.0573736843383121E-2</v>
      </c>
      <c r="S15" s="115">
        <v>194605.10999999996</v>
      </c>
      <c r="T15" s="104">
        <f t="shared" si="0"/>
        <v>7.3458942065218842E-3</v>
      </c>
      <c r="U15" s="38"/>
      <c r="V15" s="36">
        <v>6933</v>
      </c>
      <c r="W15" s="27">
        <v>2.5922773914039364E-4</v>
      </c>
      <c r="X15" s="36">
        <v>0</v>
      </c>
      <c r="Y15" s="27">
        <v>0</v>
      </c>
      <c r="Z15" s="36">
        <v>0</v>
      </c>
      <c r="AA15" s="27">
        <v>0</v>
      </c>
      <c r="AB15" s="109">
        <v>4044.82</v>
      </c>
      <c r="AC15" s="27">
        <v>1.6084576106877599E-4</v>
      </c>
      <c r="AD15" s="109">
        <v>89670.47</v>
      </c>
      <c r="AE15" s="27">
        <v>3.5062007184654422E-3</v>
      </c>
      <c r="AF15" s="115">
        <v>1961.54</v>
      </c>
      <c r="AG15" s="104">
        <f t="shared" si="1"/>
        <v>7.4043612327861995E-5</v>
      </c>
      <c r="AH15" s="214" t="str">
        <f t="shared" si="2"/>
        <v>OK</v>
      </c>
      <c r="AI15" t="s">
        <v>29</v>
      </c>
      <c r="AJ15" s="289">
        <v>26491684.270000003</v>
      </c>
      <c r="AK15" s="289">
        <v>194605.10999999996</v>
      </c>
      <c r="AL15" s="288">
        <v>7.3458942065218842E-3</v>
      </c>
      <c r="AM15" s="289">
        <v>1961.54</v>
      </c>
      <c r="AN15" s="288">
        <v>7.4043612327861995E-5</v>
      </c>
    </row>
    <row r="16" spans="1:40" x14ac:dyDescent="0.25">
      <c r="A16" s="17" t="s">
        <v>5</v>
      </c>
      <c r="B16" s="36">
        <v>9116725</v>
      </c>
      <c r="C16" s="36">
        <v>8418788.9800000004</v>
      </c>
      <c r="D16" s="36">
        <v>9445595.6899999995</v>
      </c>
      <c r="E16" s="109">
        <v>9417455.3699999992</v>
      </c>
      <c r="F16" s="109">
        <v>10825163.309999999</v>
      </c>
      <c r="G16" s="115">
        <v>12864556.399999997</v>
      </c>
      <c r="H16" s="38"/>
      <c r="I16" s="36">
        <v>357406</v>
      </c>
      <c r="J16" s="27">
        <v>3.9203332336996015E-2</v>
      </c>
      <c r="K16" s="36">
        <v>708369.8</v>
      </c>
      <c r="L16" s="27">
        <v>8.4141531719446896E-2</v>
      </c>
      <c r="M16" s="36">
        <v>622992.91999999993</v>
      </c>
      <c r="N16" s="27">
        <v>6.5955916434106865E-2</v>
      </c>
      <c r="O16" s="109">
        <v>762496.5</v>
      </c>
      <c r="P16" s="27">
        <v>8.0966298224145458E-2</v>
      </c>
      <c r="Q16" s="109">
        <v>933484.6</v>
      </c>
      <c r="R16" s="27">
        <v>8.6232842246146219E-2</v>
      </c>
      <c r="S16" s="115">
        <v>1543881.4399999995</v>
      </c>
      <c r="T16" s="104">
        <f t="shared" si="0"/>
        <v>0.12001046845268601</v>
      </c>
      <c r="U16" s="38"/>
      <c r="V16" s="36">
        <v>73058</v>
      </c>
      <c r="W16" s="27">
        <v>8.01362331319635E-3</v>
      </c>
      <c r="X16" s="36">
        <v>249181.60000000003</v>
      </c>
      <c r="Y16" s="27">
        <v>2.9598271270602629E-2</v>
      </c>
      <c r="Z16" s="36">
        <v>114858.71</v>
      </c>
      <c r="AA16" s="27">
        <v>1.2160028204637246E-2</v>
      </c>
      <c r="AB16" s="109">
        <v>226506.08000000002</v>
      </c>
      <c r="AC16" s="27">
        <v>2.6904829250156595E-2</v>
      </c>
      <c r="AD16" s="109">
        <v>328916.32</v>
      </c>
      <c r="AE16" s="27">
        <v>3.038442105498361E-2</v>
      </c>
      <c r="AF16" s="115">
        <v>375578.49</v>
      </c>
      <c r="AG16" s="104">
        <f t="shared" si="1"/>
        <v>2.9194826336957882E-2</v>
      </c>
      <c r="AH16" s="214" t="str">
        <f t="shared" si="2"/>
        <v>OK</v>
      </c>
      <c r="AI16" t="s">
        <v>5</v>
      </c>
      <c r="AJ16" s="289">
        <v>12864556.399999997</v>
      </c>
      <c r="AK16" s="289">
        <v>1543881.4399999995</v>
      </c>
      <c r="AL16" s="288">
        <v>0.12001046845268601</v>
      </c>
      <c r="AM16" s="289">
        <v>375578.49</v>
      </c>
      <c r="AN16" s="288">
        <v>2.9194826336957882E-2</v>
      </c>
    </row>
    <row r="17" spans="1:40" x14ac:dyDescent="0.25">
      <c r="A17" s="17" t="s">
        <v>22</v>
      </c>
      <c r="B17" s="36">
        <v>989792249</v>
      </c>
      <c r="C17" s="36">
        <v>1039187385.7600005</v>
      </c>
      <c r="D17" s="36">
        <v>1093453944.8199995</v>
      </c>
      <c r="E17" s="109">
        <v>1170278019.6299994</v>
      </c>
      <c r="F17" s="109">
        <v>1215427846.4300005</v>
      </c>
      <c r="G17" s="115">
        <v>1291654351.3300014</v>
      </c>
      <c r="H17" s="38"/>
      <c r="I17" s="36">
        <v>15067194</v>
      </c>
      <c r="J17" s="27">
        <v>1.5222582330001656E-2</v>
      </c>
      <c r="K17" s="36">
        <v>8633053.8899999987</v>
      </c>
      <c r="L17" s="27">
        <v>8.3075045062121228E-3</v>
      </c>
      <c r="M17" s="36">
        <v>12297799.240000002</v>
      </c>
      <c r="N17" s="27">
        <v>1.1246746420604319E-2</v>
      </c>
      <c r="O17" s="109">
        <v>9776118.8000000045</v>
      </c>
      <c r="P17" s="27">
        <v>8.3536720642594549E-3</v>
      </c>
      <c r="Q17" s="109">
        <v>10078936.990000008</v>
      </c>
      <c r="R17" s="27">
        <v>8.2925012945887604E-3</v>
      </c>
      <c r="S17" s="115">
        <v>11979959.890000002</v>
      </c>
      <c r="T17" s="104">
        <f t="shared" si="0"/>
        <v>9.2748960878460858E-3</v>
      </c>
      <c r="U17" s="38"/>
      <c r="V17" s="36">
        <v>5314862</v>
      </c>
      <c r="W17" s="27">
        <v>5.369674298186993E-3</v>
      </c>
      <c r="X17" s="36">
        <v>1818641.4600000011</v>
      </c>
      <c r="Y17" s="27">
        <v>1.7500611390408225E-3</v>
      </c>
      <c r="Z17" s="36">
        <v>3849100.0699999994</v>
      </c>
      <c r="AA17" s="27">
        <v>3.5201300322105699E-3</v>
      </c>
      <c r="AB17" s="109">
        <v>2828568.3199999984</v>
      </c>
      <c r="AC17" s="27">
        <v>2.7219040172734104E-3</v>
      </c>
      <c r="AD17" s="109">
        <v>2527895.6799999969</v>
      </c>
      <c r="AE17" s="27">
        <v>2.0798401874903764E-3</v>
      </c>
      <c r="AF17" s="115">
        <v>3588848.0599999991</v>
      </c>
      <c r="AG17" s="104">
        <f t="shared" si="1"/>
        <v>2.7784895055744628E-3</v>
      </c>
      <c r="AH17" s="214" t="str">
        <f t="shared" si="2"/>
        <v>OK</v>
      </c>
      <c r="AI17" t="s">
        <v>22</v>
      </c>
      <c r="AJ17" s="289">
        <v>1291654351.3300014</v>
      </c>
      <c r="AK17" s="289">
        <v>11979959.890000002</v>
      </c>
      <c r="AL17" s="288">
        <v>9.2748960878460858E-3</v>
      </c>
      <c r="AM17" s="289">
        <v>3588848.0599999991</v>
      </c>
      <c r="AN17" s="288">
        <v>2.7784895055744628E-3</v>
      </c>
    </row>
    <row r="18" spans="1:40" x14ac:dyDescent="0.25">
      <c r="A18" s="17" t="s">
        <v>7</v>
      </c>
      <c r="B18" s="36">
        <v>59044502</v>
      </c>
      <c r="C18" s="36">
        <v>59293588.489999987</v>
      </c>
      <c r="D18" s="36">
        <v>60057144.370000012</v>
      </c>
      <c r="E18" s="109">
        <v>65173905.409999996</v>
      </c>
      <c r="F18" s="109">
        <v>66591627.350000001</v>
      </c>
      <c r="G18" s="115">
        <v>66000395.159999996</v>
      </c>
      <c r="H18" s="38"/>
      <c r="I18" s="36">
        <v>6396493</v>
      </c>
      <c r="J18" s="27">
        <v>0.10833342281386335</v>
      </c>
      <c r="K18" s="36">
        <v>4886190.8200000022</v>
      </c>
      <c r="L18" s="27">
        <v>8.2406731392620475E-2</v>
      </c>
      <c r="M18" s="36">
        <v>4389308.8199999994</v>
      </c>
      <c r="N18" s="27">
        <v>7.3085539881123027E-2</v>
      </c>
      <c r="O18" s="109">
        <v>5107092.92</v>
      </c>
      <c r="P18" s="27">
        <v>7.8361007950528472E-2</v>
      </c>
      <c r="Q18" s="109">
        <v>5473898.6599999992</v>
      </c>
      <c r="R18" s="27">
        <v>8.2201004508114017E-2</v>
      </c>
      <c r="S18" s="115">
        <v>6686201.980000006</v>
      </c>
      <c r="T18" s="104">
        <f t="shared" si="0"/>
        <v>0.10130548406249885</v>
      </c>
      <c r="U18" s="38"/>
      <c r="V18" s="36">
        <v>251552</v>
      </c>
      <c r="W18" s="27">
        <v>4.2603797386588172E-3</v>
      </c>
      <c r="X18" s="36">
        <v>129571.74000000002</v>
      </c>
      <c r="Y18" s="27">
        <v>2.1852571804091875E-3</v>
      </c>
      <c r="Z18" s="36">
        <v>149674.48000000001</v>
      </c>
      <c r="AA18" s="27">
        <v>2.4922010789904625E-3</v>
      </c>
      <c r="AB18" s="109">
        <v>300133.38</v>
      </c>
      <c r="AC18" s="27">
        <v>5.0618184468733621E-3</v>
      </c>
      <c r="AD18" s="109">
        <v>140232.21</v>
      </c>
      <c r="AE18" s="27">
        <v>2.1058534770888129E-3</v>
      </c>
      <c r="AF18" s="115">
        <v>140007.91999999995</v>
      </c>
      <c r="AG18" s="104">
        <f t="shared" si="1"/>
        <v>2.1213194202942096E-3</v>
      </c>
      <c r="AH18" s="214" t="str">
        <f t="shared" si="2"/>
        <v>OK</v>
      </c>
      <c r="AI18" t="s">
        <v>7</v>
      </c>
      <c r="AJ18" s="289">
        <v>66000395.159999996</v>
      </c>
      <c r="AK18" s="289">
        <v>6686201.980000006</v>
      </c>
      <c r="AL18" s="288">
        <v>0.10130548406249885</v>
      </c>
      <c r="AM18" s="289">
        <v>140007.91999999995</v>
      </c>
      <c r="AN18" s="288">
        <v>2.1213194202942096E-3</v>
      </c>
    </row>
    <row r="19" spans="1:40" x14ac:dyDescent="0.25">
      <c r="A19" s="17" t="s">
        <v>6</v>
      </c>
      <c r="B19" s="36">
        <v>3300712</v>
      </c>
      <c r="C19" s="36">
        <v>3324191.79</v>
      </c>
      <c r="D19" s="36">
        <v>3325171.04</v>
      </c>
      <c r="E19" s="109">
        <v>3323099.85</v>
      </c>
      <c r="F19" s="109">
        <v>3413273.58</v>
      </c>
      <c r="G19" s="115">
        <v>3482017.8</v>
      </c>
      <c r="H19" s="38"/>
      <c r="I19" s="36">
        <v>0</v>
      </c>
      <c r="J19" s="27">
        <v>0</v>
      </c>
      <c r="K19" s="36">
        <v>0</v>
      </c>
      <c r="L19" s="27">
        <v>0</v>
      </c>
      <c r="M19" s="36">
        <v>0</v>
      </c>
      <c r="N19" s="27">
        <v>0</v>
      </c>
      <c r="O19" s="109">
        <v>0</v>
      </c>
      <c r="P19" s="27">
        <v>0</v>
      </c>
      <c r="Q19" s="109">
        <v>2307.69</v>
      </c>
      <c r="R19" s="27">
        <v>6.7609289027456164E-4</v>
      </c>
      <c r="S19" s="115"/>
      <c r="T19" s="104">
        <f t="shared" si="0"/>
        <v>0</v>
      </c>
      <c r="U19" s="38"/>
      <c r="V19" s="36">
        <v>0</v>
      </c>
      <c r="W19" s="27">
        <v>0</v>
      </c>
      <c r="X19" s="36">
        <v>0</v>
      </c>
      <c r="Y19" s="27">
        <v>0</v>
      </c>
      <c r="Z19" s="36">
        <v>0</v>
      </c>
      <c r="AA19" s="27">
        <v>0</v>
      </c>
      <c r="AB19" s="109">
        <v>0</v>
      </c>
      <c r="AC19" s="27">
        <v>0</v>
      </c>
      <c r="AD19" s="109">
        <v>0</v>
      </c>
      <c r="AE19" s="27">
        <v>0</v>
      </c>
      <c r="AF19" s="115"/>
      <c r="AG19" s="104">
        <f t="shared" si="1"/>
        <v>0</v>
      </c>
      <c r="AH19" s="214" t="str">
        <f t="shared" si="2"/>
        <v>OK</v>
      </c>
      <c r="AI19" t="s">
        <v>6</v>
      </c>
      <c r="AJ19" s="289">
        <v>3482017.8</v>
      </c>
      <c r="AL19" s="288">
        <v>0</v>
      </c>
      <c r="AN19" s="288">
        <v>0</v>
      </c>
    </row>
    <row r="20" spans="1:40" x14ac:dyDescent="0.25">
      <c r="A20" s="17" t="s">
        <v>30</v>
      </c>
      <c r="B20" s="36">
        <v>5226806</v>
      </c>
      <c r="C20" s="36">
        <v>5661817.8399999999</v>
      </c>
      <c r="D20" s="36">
        <v>6175357.3300000001</v>
      </c>
      <c r="E20" s="109">
        <v>6295341.6500000004</v>
      </c>
      <c r="F20" s="109">
        <v>8689121.5999999996</v>
      </c>
      <c r="G20" s="115">
        <v>9099382.5500000007</v>
      </c>
      <c r="H20" s="38"/>
      <c r="I20" s="36">
        <v>42500</v>
      </c>
      <c r="J20" s="27">
        <v>8.1311607892085528E-3</v>
      </c>
      <c r="K20" s="36">
        <v>0</v>
      </c>
      <c r="L20" s="27">
        <v>0</v>
      </c>
      <c r="M20" s="36">
        <v>0</v>
      </c>
      <c r="N20" s="27">
        <v>0</v>
      </c>
      <c r="O20" s="109">
        <v>0</v>
      </c>
      <c r="P20" s="27">
        <v>0</v>
      </c>
      <c r="Q20" s="109">
        <v>0</v>
      </c>
      <c r="R20" s="27">
        <v>0</v>
      </c>
      <c r="S20" s="115"/>
      <c r="T20" s="104">
        <f t="shared" si="0"/>
        <v>0</v>
      </c>
      <c r="U20" s="38"/>
      <c r="V20" s="36">
        <v>0</v>
      </c>
      <c r="W20" s="27">
        <v>0</v>
      </c>
      <c r="X20" s="36">
        <v>0</v>
      </c>
      <c r="Y20" s="27">
        <v>0</v>
      </c>
      <c r="Z20" s="36">
        <v>0</v>
      </c>
      <c r="AA20" s="27">
        <v>0</v>
      </c>
      <c r="AB20" s="109">
        <v>0</v>
      </c>
      <c r="AC20" s="27">
        <v>0</v>
      </c>
      <c r="AD20" s="109">
        <v>0</v>
      </c>
      <c r="AE20" s="27">
        <v>0</v>
      </c>
      <c r="AF20" s="115"/>
      <c r="AG20" s="104">
        <f t="shared" si="1"/>
        <v>0</v>
      </c>
      <c r="AH20" s="214" t="str">
        <f t="shared" si="2"/>
        <v>OK</v>
      </c>
      <c r="AI20" t="s">
        <v>30</v>
      </c>
      <c r="AJ20" s="289">
        <v>9099382.5500000007</v>
      </c>
      <c r="AL20" s="288">
        <v>0</v>
      </c>
      <c r="AN20" s="288">
        <v>0</v>
      </c>
    </row>
    <row r="21" spans="1:40" x14ac:dyDescent="0.25">
      <c r="A21" s="17" t="s">
        <v>8</v>
      </c>
      <c r="B21" s="36">
        <v>34535388</v>
      </c>
      <c r="C21" s="36">
        <v>33951734.329999998</v>
      </c>
      <c r="D21" s="36">
        <v>34176897.669999994</v>
      </c>
      <c r="E21" s="109">
        <v>34109595.18</v>
      </c>
      <c r="F21" s="109">
        <v>34062344.600000001</v>
      </c>
      <c r="G21" s="115">
        <v>34471149.43</v>
      </c>
      <c r="H21" s="38"/>
      <c r="I21" s="36">
        <v>968466</v>
      </c>
      <c r="J21" s="27">
        <v>2.8042713752050506E-2</v>
      </c>
      <c r="K21" s="36">
        <v>1325999.43</v>
      </c>
      <c r="L21" s="27">
        <v>3.9055425478760807E-2</v>
      </c>
      <c r="M21" s="36">
        <v>1559840.79</v>
      </c>
      <c r="N21" s="27">
        <v>4.5640210093416601E-2</v>
      </c>
      <c r="O21" s="109">
        <v>1630692.81</v>
      </c>
      <c r="P21" s="27">
        <v>4.7807451287377019E-2</v>
      </c>
      <c r="Q21" s="109">
        <v>1939676.54</v>
      </c>
      <c r="R21" s="27">
        <v>5.6944892161063979E-2</v>
      </c>
      <c r="S21" s="115">
        <v>282762.59000000003</v>
      </c>
      <c r="T21" s="104">
        <f t="shared" si="0"/>
        <v>8.202876744049438E-3</v>
      </c>
      <c r="U21" s="38"/>
      <c r="V21" s="36">
        <v>399412</v>
      </c>
      <c r="W21" s="27">
        <v>1.1565296443173015E-2</v>
      </c>
      <c r="X21" s="36">
        <v>750437.61</v>
      </c>
      <c r="Y21" s="27">
        <v>2.2103071457439741E-2</v>
      </c>
      <c r="Z21" s="36">
        <v>713938.97</v>
      </c>
      <c r="AA21" s="27">
        <v>2.0889519490433026E-2</v>
      </c>
      <c r="AB21" s="109">
        <v>526001.48</v>
      </c>
      <c r="AC21" s="27">
        <v>1.549262476218251E-2</v>
      </c>
      <c r="AD21" s="109">
        <v>280512.86</v>
      </c>
      <c r="AE21" s="27">
        <v>8.2352774976036137E-3</v>
      </c>
      <c r="AF21" s="115">
        <v>22628.78</v>
      </c>
      <c r="AG21" s="104">
        <f t="shared" si="1"/>
        <v>6.5645562663791909E-4</v>
      </c>
      <c r="AH21" s="214" t="str">
        <f t="shared" si="2"/>
        <v>OK</v>
      </c>
      <c r="AI21" t="s">
        <v>8</v>
      </c>
      <c r="AJ21" s="289">
        <v>34471149.43</v>
      </c>
      <c r="AK21" s="289">
        <v>282762.59000000003</v>
      </c>
      <c r="AL21" s="288">
        <v>8.202876744049438E-3</v>
      </c>
      <c r="AM21" s="289">
        <v>22628.78</v>
      </c>
      <c r="AN21" s="288">
        <v>6.5645562663791909E-4</v>
      </c>
    </row>
    <row r="22" spans="1:40" x14ac:dyDescent="0.25">
      <c r="A22" s="17" t="s">
        <v>9</v>
      </c>
      <c r="B22" s="36">
        <v>12217534</v>
      </c>
      <c r="C22" s="36">
        <v>11798025.34</v>
      </c>
      <c r="D22" s="36">
        <v>11631733.07</v>
      </c>
      <c r="E22" s="109">
        <v>13161719.43</v>
      </c>
      <c r="F22" s="109">
        <v>13046208.74</v>
      </c>
      <c r="G22" s="115">
        <v>13352266.07</v>
      </c>
      <c r="H22" s="38"/>
      <c r="I22" s="36">
        <v>1496499</v>
      </c>
      <c r="J22" s="27">
        <v>0.12248781137011773</v>
      </c>
      <c r="K22" s="36">
        <v>1967916.72</v>
      </c>
      <c r="L22" s="27">
        <v>0.16680051646676664</v>
      </c>
      <c r="M22" s="36">
        <v>1182690.33</v>
      </c>
      <c r="N22" s="27">
        <v>0.10167791187113272</v>
      </c>
      <c r="O22" s="109">
        <v>1588520.07</v>
      </c>
      <c r="P22" s="27">
        <v>0.12069244284141377</v>
      </c>
      <c r="Q22" s="109">
        <v>1980367.26</v>
      </c>
      <c r="R22" s="27">
        <v>0.15179638004167026</v>
      </c>
      <c r="S22" s="115">
        <v>1587900.8400000015</v>
      </c>
      <c r="T22" s="104">
        <f t="shared" ref="T22:T51" si="3">S22/G22</f>
        <v>0.1189236966725605</v>
      </c>
      <c r="U22" s="38"/>
      <c r="V22" s="36">
        <v>387603</v>
      </c>
      <c r="W22" s="27">
        <v>3.1725141914890516E-2</v>
      </c>
      <c r="X22" s="36">
        <v>757140.2300000001</v>
      </c>
      <c r="Y22" s="27">
        <v>6.4175165604450218E-2</v>
      </c>
      <c r="Z22" s="36">
        <v>245007.8</v>
      </c>
      <c r="AA22" s="27">
        <v>2.1063739902346296E-2</v>
      </c>
      <c r="AB22" s="109">
        <v>287059.18</v>
      </c>
      <c r="AC22" s="27">
        <v>2.4331120821274657E-2</v>
      </c>
      <c r="AD22" s="109">
        <v>450142.3</v>
      </c>
      <c r="AE22" s="27">
        <v>3.4503686777588687E-2</v>
      </c>
      <c r="AF22" s="115">
        <v>363778.17000000004</v>
      </c>
      <c r="AG22" s="104">
        <f t="shared" si="1"/>
        <v>2.7244676528528765E-2</v>
      </c>
      <c r="AH22" s="214" t="str">
        <f t="shared" si="2"/>
        <v>OK</v>
      </c>
      <c r="AI22" t="s">
        <v>9</v>
      </c>
      <c r="AJ22" s="289">
        <v>13352266.07</v>
      </c>
      <c r="AK22" s="289">
        <v>1587900.8400000015</v>
      </c>
      <c r="AL22" s="288">
        <v>0.1189236966725605</v>
      </c>
      <c r="AM22" s="289">
        <v>363778.17000000004</v>
      </c>
      <c r="AN22" s="288">
        <v>2.7244676528528765E-2</v>
      </c>
    </row>
    <row r="23" spans="1:40" x14ac:dyDescent="0.25">
      <c r="A23" s="17" t="s">
        <v>24</v>
      </c>
      <c r="B23" s="36">
        <v>724213734</v>
      </c>
      <c r="C23" s="36">
        <v>767275876.90999985</v>
      </c>
      <c r="D23" s="36">
        <v>818635446.13000011</v>
      </c>
      <c r="E23" s="109">
        <v>862129694.7700001</v>
      </c>
      <c r="F23" s="109">
        <v>911722635.55999982</v>
      </c>
      <c r="G23" s="115">
        <v>970407901.14000058</v>
      </c>
      <c r="H23" s="38"/>
      <c r="I23" s="36">
        <v>68769229</v>
      </c>
      <c r="J23" s="27">
        <v>9.4957090388457066E-2</v>
      </c>
      <c r="K23" s="36">
        <v>71608206.859999999</v>
      </c>
      <c r="L23" s="27">
        <v>9.3327848580856035E-2</v>
      </c>
      <c r="M23" s="36">
        <v>67061370.430000015</v>
      </c>
      <c r="N23" s="27">
        <v>8.191847878933721E-2</v>
      </c>
      <c r="O23" s="109">
        <v>69039048.730000019</v>
      </c>
      <c r="P23" s="27">
        <v>8.0079655240756248E-2</v>
      </c>
      <c r="Q23" s="109">
        <v>79830997.569999963</v>
      </c>
      <c r="R23" s="27">
        <v>8.7560618170860735E-2</v>
      </c>
      <c r="S23" s="115">
        <v>89886437.649999723</v>
      </c>
      <c r="T23" s="104">
        <f t="shared" si="3"/>
        <v>9.2627479170773797E-2</v>
      </c>
      <c r="U23" s="38"/>
      <c r="V23" s="36">
        <v>17884060</v>
      </c>
      <c r="W23" s="27">
        <v>2.4694450215991072E-2</v>
      </c>
      <c r="X23" s="36">
        <v>23156983.48</v>
      </c>
      <c r="Y23" s="27">
        <v>3.0180778748393096E-2</v>
      </c>
      <c r="Z23" s="36">
        <v>18312502.34999999</v>
      </c>
      <c r="AA23" s="27">
        <v>2.2369544876868118E-2</v>
      </c>
      <c r="AB23" s="109">
        <v>19329599.690000009</v>
      </c>
      <c r="AC23" s="27">
        <v>2.5192502816385739E-2</v>
      </c>
      <c r="AD23" s="109">
        <v>18784264.650000002</v>
      </c>
      <c r="AE23" s="27">
        <v>2.0603047371377699E-2</v>
      </c>
      <c r="AF23" s="115">
        <v>28165710.830000028</v>
      </c>
      <c r="AG23" s="104">
        <f t="shared" si="1"/>
        <v>2.9024609957227221E-2</v>
      </c>
      <c r="AH23" s="214" t="str">
        <f t="shared" si="2"/>
        <v>OK</v>
      </c>
      <c r="AI23" t="s">
        <v>24</v>
      </c>
      <c r="AJ23" s="289">
        <v>970407901.14000058</v>
      </c>
      <c r="AK23" s="289">
        <v>89886437.649999723</v>
      </c>
      <c r="AL23" s="288">
        <v>9.2627479170773797E-2</v>
      </c>
      <c r="AM23" s="289">
        <v>28165710.830000028</v>
      </c>
      <c r="AN23" s="288">
        <v>2.9024609957227221E-2</v>
      </c>
    </row>
    <row r="24" spans="1:40" x14ac:dyDescent="0.25">
      <c r="A24" s="17" t="s">
        <v>25</v>
      </c>
      <c r="B24" s="36">
        <v>383348</v>
      </c>
      <c r="C24" s="36">
        <v>395077.65</v>
      </c>
      <c r="D24" s="36">
        <v>402197.68</v>
      </c>
      <c r="E24" s="109">
        <v>414444.53</v>
      </c>
      <c r="F24" s="109">
        <v>405729.26</v>
      </c>
      <c r="G24" s="115">
        <v>389754.14</v>
      </c>
      <c r="H24" s="38"/>
      <c r="I24" s="36">
        <v>0</v>
      </c>
      <c r="J24" s="27">
        <v>0</v>
      </c>
      <c r="K24" s="36">
        <v>0</v>
      </c>
      <c r="L24" s="27">
        <v>0</v>
      </c>
      <c r="M24" s="36">
        <v>0</v>
      </c>
      <c r="N24" s="27">
        <v>0</v>
      </c>
      <c r="O24" s="109">
        <v>0</v>
      </c>
      <c r="P24" s="27">
        <v>0</v>
      </c>
      <c r="Q24" s="109">
        <v>9698.42</v>
      </c>
      <c r="R24" s="27">
        <v>2.3903674090451351E-2</v>
      </c>
      <c r="S24" s="115">
        <v>3313.64</v>
      </c>
      <c r="T24" s="104">
        <f t="shared" si="3"/>
        <v>8.5018724881280282E-3</v>
      </c>
      <c r="U24" s="38"/>
      <c r="V24" s="36">
        <v>0</v>
      </c>
      <c r="W24" s="27">
        <v>0</v>
      </c>
      <c r="X24" s="36">
        <v>0</v>
      </c>
      <c r="Y24" s="27">
        <v>0</v>
      </c>
      <c r="Z24" s="36">
        <v>0</v>
      </c>
      <c r="AA24" s="27">
        <v>0</v>
      </c>
      <c r="AB24" s="109">
        <v>0</v>
      </c>
      <c r="AC24" s="27">
        <v>0</v>
      </c>
      <c r="AD24" s="109">
        <v>0</v>
      </c>
      <c r="AE24" s="27">
        <v>0</v>
      </c>
      <c r="AF24" s="115"/>
      <c r="AG24" s="104">
        <f t="shared" si="1"/>
        <v>0</v>
      </c>
      <c r="AH24" s="214" t="str">
        <f t="shared" si="2"/>
        <v>OK</v>
      </c>
      <c r="AI24" t="s">
        <v>25</v>
      </c>
      <c r="AJ24" s="289">
        <v>389754.14</v>
      </c>
      <c r="AK24" s="289">
        <v>3313.64</v>
      </c>
      <c r="AL24" s="288">
        <v>8.5018724881280282E-3</v>
      </c>
      <c r="AN24" s="288">
        <v>0</v>
      </c>
    </row>
    <row r="25" spans="1:40" x14ac:dyDescent="0.25">
      <c r="A25" s="17" t="s">
        <v>34</v>
      </c>
      <c r="B25" s="36">
        <v>385471</v>
      </c>
      <c r="C25" s="36">
        <v>374542.38</v>
      </c>
      <c r="D25" s="36">
        <v>366592.07</v>
      </c>
      <c r="E25" s="109">
        <v>363889.82</v>
      </c>
      <c r="F25" s="109">
        <v>353228.08</v>
      </c>
      <c r="G25" s="115">
        <v>380547.83999999997</v>
      </c>
      <c r="H25" s="38"/>
      <c r="I25" s="36">
        <v>53555</v>
      </c>
      <c r="J25" s="27">
        <v>0.13893392758469508</v>
      </c>
      <c r="K25" s="36">
        <v>28</v>
      </c>
      <c r="L25" s="27">
        <v>7.4757895221363202E-5</v>
      </c>
      <c r="M25" s="36">
        <v>221.68</v>
      </c>
      <c r="N25" s="27">
        <v>6.0470484263339358E-4</v>
      </c>
      <c r="O25" s="109">
        <v>390.1</v>
      </c>
      <c r="P25" s="27">
        <v>1.0720277912693464E-3</v>
      </c>
      <c r="Q25" s="109">
        <v>311</v>
      </c>
      <c r="R25" s="27">
        <v>8.804509539558689E-4</v>
      </c>
      <c r="S25" s="115">
        <v>237</v>
      </c>
      <c r="T25" s="104">
        <f t="shared" si="3"/>
        <v>6.2278634928002749E-4</v>
      </c>
      <c r="U25" s="38"/>
      <c r="V25" s="36">
        <v>52669</v>
      </c>
      <c r="W25" s="27">
        <v>0.13663544079839987</v>
      </c>
      <c r="X25" s="36">
        <v>0</v>
      </c>
      <c r="Y25" s="27">
        <v>0</v>
      </c>
      <c r="Z25" s="36">
        <v>0</v>
      </c>
      <c r="AA25" s="27">
        <v>0</v>
      </c>
      <c r="AB25" s="109">
        <v>0</v>
      </c>
      <c r="AC25" s="27">
        <v>0</v>
      </c>
      <c r="AD25" s="109">
        <v>0</v>
      </c>
      <c r="AE25" s="27">
        <v>0</v>
      </c>
      <c r="AF25" s="115">
        <v>37</v>
      </c>
      <c r="AG25" s="104">
        <f t="shared" si="1"/>
        <v>9.7228248621776444E-5</v>
      </c>
      <c r="AH25" s="214" t="str">
        <f t="shared" si="2"/>
        <v>OK</v>
      </c>
      <c r="AI25" t="s">
        <v>34</v>
      </c>
      <c r="AJ25" s="289">
        <v>380547.83999999997</v>
      </c>
      <c r="AK25" s="289">
        <v>237</v>
      </c>
      <c r="AL25" s="288">
        <v>6.2278634928002749E-4</v>
      </c>
      <c r="AM25" s="289">
        <v>37</v>
      </c>
      <c r="AN25" s="288">
        <v>9.7228248621776444E-5</v>
      </c>
    </row>
    <row r="26" spans="1:40" x14ac:dyDescent="0.25">
      <c r="A26" s="17" t="s">
        <v>10</v>
      </c>
      <c r="B26" s="36">
        <v>9385622</v>
      </c>
      <c r="C26" s="36">
        <v>9378118.6399999987</v>
      </c>
      <c r="D26" s="36">
        <v>9690932.8199999984</v>
      </c>
      <c r="E26" s="109">
        <v>9623825.7899999991</v>
      </c>
      <c r="F26" s="109">
        <v>10200661.359999999</v>
      </c>
      <c r="G26" s="115">
        <v>10499467.360000001</v>
      </c>
      <c r="H26" s="38"/>
      <c r="I26" s="36">
        <v>201694</v>
      </c>
      <c r="J26" s="27">
        <v>2.1489678574312922E-2</v>
      </c>
      <c r="K26" s="36">
        <v>127860.1</v>
      </c>
      <c r="L26" s="27">
        <v>1.3633875290790735E-2</v>
      </c>
      <c r="M26" s="36">
        <v>557128.80999999994</v>
      </c>
      <c r="N26" s="27">
        <v>5.7489698912183772E-2</v>
      </c>
      <c r="O26" s="109">
        <v>1966383.3400000003</v>
      </c>
      <c r="P26" s="27">
        <v>0.20432449453139992</v>
      </c>
      <c r="Q26" s="109">
        <v>275416.03000000003</v>
      </c>
      <c r="R26" s="27">
        <v>2.699982092141524E-2</v>
      </c>
      <c r="S26" s="115">
        <v>412699.17999999993</v>
      </c>
      <c r="T26" s="104">
        <f t="shared" si="3"/>
        <v>3.9306677743698407E-2</v>
      </c>
      <c r="U26" s="38"/>
      <c r="V26" s="36">
        <v>28383</v>
      </c>
      <c r="W26" s="27">
        <v>3.0240936615602036E-3</v>
      </c>
      <c r="X26" s="36">
        <v>5098.9599999999991</v>
      </c>
      <c r="Y26" s="27">
        <v>5.4370819945182523E-4</v>
      </c>
      <c r="Z26" s="36">
        <v>215038.85</v>
      </c>
      <c r="AA26" s="27">
        <v>2.2189695666469396E-2</v>
      </c>
      <c r="AB26" s="109">
        <v>1110502.28</v>
      </c>
      <c r="AC26" s="27">
        <v>0.11841418547035999</v>
      </c>
      <c r="AD26" s="109">
        <v>115435.86</v>
      </c>
      <c r="AE26" s="27">
        <v>1.1316507423004973E-2</v>
      </c>
      <c r="AF26" s="115">
        <v>80743.03</v>
      </c>
      <c r="AG26" s="104">
        <f t="shared" si="1"/>
        <v>7.6902024866145197E-3</v>
      </c>
      <c r="AH26" s="214" t="str">
        <f t="shared" si="2"/>
        <v>OK</v>
      </c>
      <c r="AI26" t="s">
        <v>10</v>
      </c>
      <c r="AJ26" s="289">
        <v>10499467.360000001</v>
      </c>
      <c r="AK26" s="289">
        <v>412699.17999999993</v>
      </c>
      <c r="AL26" s="288">
        <v>3.9306677743698407E-2</v>
      </c>
      <c r="AM26" s="289">
        <v>80743.03</v>
      </c>
      <c r="AN26" s="288">
        <v>7.6902024866145197E-3</v>
      </c>
    </row>
    <row r="27" spans="1:40" x14ac:dyDescent="0.25">
      <c r="A27" s="17" t="s">
        <v>11</v>
      </c>
      <c r="B27" s="36">
        <v>68950011</v>
      </c>
      <c r="C27" s="36">
        <v>70835216.199999973</v>
      </c>
      <c r="D27" s="36">
        <v>75468039.069999978</v>
      </c>
      <c r="E27" s="109">
        <v>80759807.800000012</v>
      </c>
      <c r="F27" s="109">
        <v>84158280.719999939</v>
      </c>
      <c r="G27" s="115">
        <v>86852096.670000032</v>
      </c>
      <c r="H27" s="38"/>
      <c r="I27" s="36">
        <v>4195808</v>
      </c>
      <c r="J27" s="27">
        <v>6.0852898196056854E-2</v>
      </c>
      <c r="K27" s="36">
        <v>2509631.7200000002</v>
      </c>
      <c r="L27" s="27">
        <v>3.5429153105344814E-2</v>
      </c>
      <c r="M27" s="36">
        <v>2700654.68</v>
      </c>
      <c r="N27" s="27">
        <v>3.5785409469762719E-2</v>
      </c>
      <c r="O27" s="109">
        <v>9242001.9299999997</v>
      </c>
      <c r="P27" s="27">
        <v>0.11443813676337153</v>
      </c>
      <c r="Q27" s="109">
        <v>5313623.919999999</v>
      </c>
      <c r="R27" s="27">
        <v>6.3138456186845951E-2</v>
      </c>
      <c r="S27" s="115">
        <v>4645503.4099999974</v>
      </c>
      <c r="T27" s="104">
        <f t="shared" si="3"/>
        <v>5.3487521753802648E-2</v>
      </c>
      <c r="U27" s="38"/>
      <c r="V27" s="36">
        <v>1493296</v>
      </c>
      <c r="W27" s="27">
        <v>2.1657661519444864E-2</v>
      </c>
      <c r="X27" s="36">
        <v>591274.04</v>
      </c>
      <c r="Y27" s="27">
        <v>8.3471763300695667E-3</v>
      </c>
      <c r="Z27" s="36">
        <v>422769</v>
      </c>
      <c r="AA27" s="27">
        <v>5.6019608460723732E-3</v>
      </c>
      <c r="AB27" s="109">
        <v>4259163.0799999991</v>
      </c>
      <c r="AC27" s="27">
        <v>6.0127762834441677E-2</v>
      </c>
      <c r="AD27" s="109">
        <v>2230361.52</v>
      </c>
      <c r="AE27" s="27">
        <v>2.6501985317648746E-2</v>
      </c>
      <c r="AF27" s="115">
        <v>1464977.4299999992</v>
      </c>
      <c r="AG27" s="104">
        <f t="shared" si="1"/>
        <v>1.6867496424021546E-2</v>
      </c>
      <c r="AH27" s="214" t="str">
        <f t="shared" si="2"/>
        <v>OK</v>
      </c>
      <c r="AI27" t="s">
        <v>11</v>
      </c>
      <c r="AJ27" s="289">
        <v>86852096.670000032</v>
      </c>
      <c r="AK27" s="289">
        <v>4645503.4099999974</v>
      </c>
      <c r="AL27" s="288">
        <v>5.3487521753802648E-2</v>
      </c>
      <c r="AM27" s="289">
        <v>1464977.4299999992</v>
      </c>
      <c r="AN27" s="288">
        <v>1.6867496424021546E-2</v>
      </c>
    </row>
    <row r="28" spans="1:40" x14ac:dyDescent="0.25">
      <c r="A28" s="17" t="s">
        <v>197</v>
      </c>
      <c r="B28" s="36">
        <v>13516207</v>
      </c>
      <c r="C28" s="36">
        <v>13653198.119999999</v>
      </c>
      <c r="D28" s="36">
        <v>13627735.779999999</v>
      </c>
      <c r="E28" s="109">
        <v>14324833.080000002</v>
      </c>
      <c r="F28" s="109">
        <v>15667740.899999999</v>
      </c>
      <c r="G28" s="115">
        <v>18000225.170000002</v>
      </c>
      <c r="H28" s="38"/>
      <c r="I28" s="36">
        <v>1187214</v>
      </c>
      <c r="J28" s="27">
        <v>8.7836328638648403E-2</v>
      </c>
      <c r="K28" s="36">
        <v>1740933.95</v>
      </c>
      <c r="L28" s="27">
        <v>0.12751107357402061</v>
      </c>
      <c r="M28" s="36">
        <v>1068034.8900000001</v>
      </c>
      <c r="N28" s="27">
        <v>7.8372145398316509E-2</v>
      </c>
      <c r="O28" s="109">
        <v>433898.05999999994</v>
      </c>
      <c r="P28" s="27">
        <v>3.0289920837248588E-2</v>
      </c>
      <c r="Q28" s="109">
        <v>704637.9</v>
      </c>
      <c r="R28" s="27">
        <v>4.4973803466458913E-2</v>
      </c>
      <c r="S28" s="115">
        <v>742558.04000000027</v>
      </c>
      <c r="T28" s="104">
        <f t="shared" si="3"/>
        <v>4.1252708395980595E-2</v>
      </c>
      <c r="U28" s="38"/>
      <c r="V28" s="36">
        <v>184477</v>
      </c>
      <c r="W28" s="27">
        <v>1.3648577592811356E-2</v>
      </c>
      <c r="X28" s="36">
        <v>430825.57999999996</v>
      </c>
      <c r="Y28" s="27">
        <v>3.155492040864049E-2</v>
      </c>
      <c r="Z28" s="36">
        <v>75726.460000000006</v>
      </c>
      <c r="AA28" s="27">
        <v>5.5567895666964575E-3</v>
      </c>
      <c r="AB28" s="109">
        <v>63925.15</v>
      </c>
      <c r="AC28" s="27">
        <v>4.6820641902470253E-3</v>
      </c>
      <c r="AD28" s="109">
        <v>75873.280000000013</v>
      </c>
      <c r="AE28" s="27">
        <v>4.8426432683731716E-3</v>
      </c>
      <c r="AF28" s="115">
        <v>94961.809999999983</v>
      </c>
      <c r="AG28" s="104">
        <f t="shared" si="1"/>
        <v>5.2755901164096364E-3</v>
      </c>
      <c r="AH28" s="214" t="str">
        <f t="shared" si="2"/>
        <v>OK</v>
      </c>
      <c r="AI28" t="s">
        <v>197</v>
      </c>
      <c r="AJ28" s="289">
        <v>18000225.170000002</v>
      </c>
      <c r="AK28" s="289">
        <v>742558.04000000027</v>
      </c>
      <c r="AL28" s="288">
        <v>4.1252708395980595E-2</v>
      </c>
      <c r="AM28" s="289">
        <v>94961.809999999983</v>
      </c>
      <c r="AN28" s="288">
        <v>5.2755901164096364E-3</v>
      </c>
    </row>
    <row r="29" spans="1:40" x14ac:dyDescent="0.25">
      <c r="A29" s="17" t="s">
        <v>12</v>
      </c>
      <c r="B29" s="36">
        <v>39959848</v>
      </c>
      <c r="C29" s="36">
        <v>39624700.590000004</v>
      </c>
      <c r="D29" s="36">
        <v>39390948.019999996</v>
      </c>
      <c r="E29" s="109">
        <v>39016243.710000016</v>
      </c>
      <c r="F29" s="109">
        <v>41456040.999999985</v>
      </c>
      <c r="G29" s="115">
        <v>43324899.07</v>
      </c>
      <c r="H29" s="38"/>
      <c r="I29" s="36">
        <v>2051933</v>
      </c>
      <c r="J29" s="27">
        <v>5.1349869999505506E-2</v>
      </c>
      <c r="K29" s="36">
        <v>3800950.31</v>
      </c>
      <c r="L29" s="27">
        <v>9.5923761022922091E-2</v>
      </c>
      <c r="M29" s="36">
        <v>1767303.1899999997</v>
      </c>
      <c r="N29" s="27">
        <v>4.4865718618975238E-2</v>
      </c>
      <c r="O29" s="109">
        <v>1743472.7899999998</v>
      </c>
      <c r="P29" s="27">
        <v>4.4685818628745669E-2</v>
      </c>
      <c r="Q29" s="109">
        <v>2294050.4999999995</v>
      </c>
      <c r="R29" s="27">
        <v>5.5336941122766652E-2</v>
      </c>
      <c r="S29" s="115">
        <v>2664447.8399999985</v>
      </c>
      <c r="T29" s="104">
        <f t="shared" si="3"/>
        <v>6.1499227861905745E-2</v>
      </c>
      <c r="U29" s="38"/>
      <c r="V29" s="36">
        <v>477580</v>
      </c>
      <c r="W29" s="27">
        <v>1.1951496912600869E-2</v>
      </c>
      <c r="X29" s="36">
        <v>1514814.5399999998</v>
      </c>
      <c r="Y29" s="27">
        <v>3.8229046969311113E-2</v>
      </c>
      <c r="Z29" s="36">
        <v>503783.64999999997</v>
      </c>
      <c r="AA29" s="27">
        <v>1.2789325348153933E-2</v>
      </c>
      <c r="AB29" s="109">
        <v>462924.54</v>
      </c>
      <c r="AC29" s="27">
        <v>1.16827265091519E-2</v>
      </c>
      <c r="AD29" s="109">
        <v>701007.91999999993</v>
      </c>
      <c r="AE29" s="27">
        <v>1.6909668725964454E-2</v>
      </c>
      <c r="AF29" s="115">
        <v>699352.15</v>
      </c>
      <c r="AG29" s="104">
        <f t="shared" si="1"/>
        <v>1.6142037604520609E-2</v>
      </c>
      <c r="AH29" s="214" t="str">
        <f t="shared" si="2"/>
        <v>OK</v>
      </c>
      <c r="AI29" t="s">
        <v>12</v>
      </c>
      <c r="AJ29" s="289">
        <v>43324899.07</v>
      </c>
      <c r="AK29" s="289">
        <v>2664447.8399999985</v>
      </c>
      <c r="AL29" s="288">
        <v>6.1499227861905745E-2</v>
      </c>
      <c r="AM29" s="289">
        <v>699352.15</v>
      </c>
      <c r="AN29" s="288">
        <v>1.6142037604520609E-2</v>
      </c>
    </row>
    <row r="30" spans="1:40" x14ac:dyDescent="0.25">
      <c r="A30" s="17" t="s">
        <v>13</v>
      </c>
      <c r="B30" s="36">
        <v>17435453</v>
      </c>
      <c r="C30" s="36">
        <v>17298422.559999999</v>
      </c>
      <c r="D30" s="36">
        <v>17345561.110000003</v>
      </c>
      <c r="E30" s="109">
        <v>18401941.719999999</v>
      </c>
      <c r="F30" s="109">
        <v>18534132.439999998</v>
      </c>
      <c r="G30" s="115">
        <v>18827205.84</v>
      </c>
      <c r="H30" s="38"/>
      <c r="I30" s="36">
        <v>634476</v>
      </c>
      <c r="J30" s="27">
        <v>3.6389992276082535E-2</v>
      </c>
      <c r="K30" s="36">
        <v>881196.8</v>
      </c>
      <c r="L30" s="27">
        <v>5.0940876079512309E-2</v>
      </c>
      <c r="M30" s="36">
        <v>1016125.5</v>
      </c>
      <c r="N30" s="27">
        <v>5.8581298901549332E-2</v>
      </c>
      <c r="O30" s="109">
        <v>1925685.07</v>
      </c>
      <c r="P30" s="27">
        <v>0.10464575419816079</v>
      </c>
      <c r="Q30" s="109">
        <v>2017622.8800000001</v>
      </c>
      <c r="R30" s="27">
        <v>0.10885985014575629</v>
      </c>
      <c r="S30" s="115">
        <v>1282567.2099999993</v>
      </c>
      <c r="T30" s="104">
        <f t="shared" si="3"/>
        <v>6.812307789587535E-2</v>
      </c>
      <c r="U30" s="38"/>
      <c r="V30" s="36">
        <v>35935</v>
      </c>
      <c r="W30" s="27">
        <v>2.0610304762371245E-3</v>
      </c>
      <c r="X30" s="36">
        <v>228260.90999999997</v>
      </c>
      <c r="Y30" s="27">
        <v>1.3195475437617012E-2</v>
      </c>
      <c r="Z30" s="36">
        <v>224599.04000000001</v>
      </c>
      <c r="AA30" s="27">
        <v>1.2948502419475778E-2</v>
      </c>
      <c r="AB30" s="109">
        <v>795967.81</v>
      </c>
      <c r="AC30" s="27">
        <v>4.6013895616156118E-2</v>
      </c>
      <c r="AD30" s="109">
        <v>957589.46</v>
      </c>
      <c r="AE30" s="27">
        <v>5.1666268334920787E-2</v>
      </c>
      <c r="AF30" s="115">
        <v>286693.34000000014</v>
      </c>
      <c r="AG30" s="104">
        <f t="shared" si="1"/>
        <v>1.5227609579266178E-2</v>
      </c>
      <c r="AH30" s="214" t="str">
        <f t="shared" si="2"/>
        <v>OK</v>
      </c>
      <c r="AI30" t="s">
        <v>13</v>
      </c>
      <c r="AJ30" s="289">
        <v>18827205.84</v>
      </c>
      <c r="AK30" s="289">
        <v>1282567.2099999993</v>
      </c>
      <c r="AL30" s="288">
        <v>6.812307789587535E-2</v>
      </c>
      <c r="AM30" s="289">
        <v>286693.34000000014</v>
      </c>
      <c r="AN30" s="288">
        <v>1.5227609579266178E-2</v>
      </c>
    </row>
    <row r="31" spans="1:40" x14ac:dyDescent="0.25">
      <c r="A31" s="17" t="s">
        <v>14</v>
      </c>
      <c r="B31" s="36">
        <v>11700330</v>
      </c>
      <c r="C31" s="36">
        <v>12477319.989999998</v>
      </c>
      <c r="D31" s="36">
        <v>12594308.99</v>
      </c>
      <c r="E31" s="109">
        <v>14735601.150000002</v>
      </c>
      <c r="F31" s="109">
        <v>16509012.67</v>
      </c>
      <c r="G31" s="115">
        <v>18294673.719999999</v>
      </c>
      <c r="H31" s="38"/>
      <c r="I31" s="36">
        <v>462607</v>
      </c>
      <c r="J31" s="27">
        <v>3.9537944656261835E-2</v>
      </c>
      <c r="K31" s="36">
        <v>390060.65000000008</v>
      </c>
      <c r="L31" s="27">
        <v>3.1261573023102389E-2</v>
      </c>
      <c r="M31" s="36">
        <v>557564.86999999988</v>
      </c>
      <c r="N31" s="27">
        <v>4.4271176008363111E-2</v>
      </c>
      <c r="O31" s="109">
        <v>610932.62</v>
      </c>
      <c r="P31" s="27">
        <v>4.1459633290902416E-2</v>
      </c>
      <c r="Q31" s="109">
        <v>695284.79</v>
      </c>
      <c r="R31" s="27">
        <v>4.2115467708342368E-2</v>
      </c>
      <c r="S31" s="115">
        <v>478614.67999999976</v>
      </c>
      <c r="T31" s="104">
        <f t="shared" si="3"/>
        <v>2.6161422025076694E-2</v>
      </c>
      <c r="U31" s="38"/>
      <c r="V31" s="36">
        <v>156378</v>
      </c>
      <c r="W31" s="27">
        <v>1.3365264056654813E-2</v>
      </c>
      <c r="X31" s="36">
        <v>58978.070000000007</v>
      </c>
      <c r="Y31" s="27">
        <v>4.7268219495266803E-3</v>
      </c>
      <c r="Z31" s="36">
        <v>37832.009999999995</v>
      </c>
      <c r="AA31" s="27">
        <v>3.0038972388273916E-3</v>
      </c>
      <c r="AB31" s="109">
        <v>133799.77000000002</v>
      </c>
      <c r="AC31" s="27">
        <v>1.0723438214875824E-2</v>
      </c>
      <c r="AD31" s="109">
        <v>268329.93</v>
      </c>
      <c r="AE31" s="27">
        <v>1.6253541950913046E-2</v>
      </c>
      <c r="AF31" s="115">
        <v>93066.639999999985</v>
      </c>
      <c r="AG31" s="104">
        <f t="shared" si="1"/>
        <v>5.0870893585961141E-3</v>
      </c>
      <c r="AH31" s="214" t="str">
        <f t="shared" si="2"/>
        <v>OK</v>
      </c>
      <c r="AI31" t="s">
        <v>14</v>
      </c>
      <c r="AJ31" s="289">
        <v>18294673.719999999</v>
      </c>
      <c r="AK31" s="289">
        <v>478614.67999999976</v>
      </c>
      <c r="AL31" s="288">
        <v>2.6161422025076694E-2</v>
      </c>
      <c r="AM31" s="289">
        <v>93066.639999999985</v>
      </c>
      <c r="AN31" s="288">
        <v>5.0870893585961141E-3</v>
      </c>
    </row>
    <row r="32" spans="1:40" x14ac:dyDescent="0.25">
      <c r="A32" s="17" t="s">
        <v>15</v>
      </c>
      <c r="B32" s="36">
        <v>11181008</v>
      </c>
      <c r="C32" s="36">
        <v>11078173.970000001</v>
      </c>
      <c r="D32" s="36">
        <v>11541441.030000001</v>
      </c>
      <c r="E32" s="109">
        <v>11069518.399999999</v>
      </c>
      <c r="F32" s="109">
        <v>10182488.870000001</v>
      </c>
      <c r="G32" s="115">
        <v>11067209.25</v>
      </c>
      <c r="H32" s="38"/>
      <c r="I32" s="36">
        <v>797373</v>
      </c>
      <c r="J32" s="27">
        <v>7.1314947632628467E-2</v>
      </c>
      <c r="K32" s="36">
        <v>861867.64999999991</v>
      </c>
      <c r="L32" s="27">
        <v>7.7798710539657631E-2</v>
      </c>
      <c r="M32" s="36">
        <v>973962.06</v>
      </c>
      <c r="N32" s="27">
        <v>8.4388254245579247E-2</v>
      </c>
      <c r="O32" s="109">
        <v>264558.97000000003</v>
      </c>
      <c r="P32" s="27">
        <v>2.3899772369500742E-2</v>
      </c>
      <c r="Q32" s="109">
        <v>382664.47</v>
      </c>
      <c r="R32" s="27">
        <v>3.7580642108769616E-2</v>
      </c>
      <c r="S32" s="115">
        <v>352410.95999999996</v>
      </c>
      <c r="T32" s="104">
        <f t="shared" si="3"/>
        <v>3.1842802646927452E-2</v>
      </c>
      <c r="U32" s="38"/>
      <c r="V32" s="36">
        <v>129630</v>
      </c>
      <c r="W32" s="27">
        <v>1.1593766858945097E-2</v>
      </c>
      <c r="X32" s="36">
        <v>47310.53</v>
      </c>
      <c r="Y32" s="27">
        <v>4.2706072434065588E-3</v>
      </c>
      <c r="Z32" s="36">
        <v>129123.49</v>
      </c>
      <c r="AA32" s="27">
        <v>1.1187813520371121E-2</v>
      </c>
      <c r="AB32" s="109">
        <v>2049.67</v>
      </c>
      <c r="AC32" s="27">
        <v>1.8501875900762732E-4</v>
      </c>
      <c r="AD32" s="109">
        <v>48647.72</v>
      </c>
      <c r="AE32" s="27">
        <v>4.7775863662692123E-3</v>
      </c>
      <c r="AF32" s="115">
        <v>76917.22</v>
      </c>
      <c r="AG32" s="104">
        <f t="shared" si="1"/>
        <v>6.9500104554361796E-3</v>
      </c>
      <c r="AH32" s="214" t="str">
        <f t="shared" si="2"/>
        <v>OK</v>
      </c>
      <c r="AI32" t="s">
        <v>15</v>
      </c>
      <c r="AJ32" s="289">
        <v>11067209.25</v>
      </c>
      <c r="AK32" s="289">
        <v>352410.95999999996</v>
      </c>
      <c r="AL32" s="288">
        <v>3.1842802646927452E-2</v>
      </c>
      <c r="AM32" s="289">
        <v>76917.22</v>
      </c>
      <c r="AN32" s="288">
        <v>6.9500104554361796E-3</v>
      </c>
    </row>
    <row r="33" spans="1:40" x14ac:dyDescent="0.25">
      <c r="A33" s="17" t="s">
        <v>16</v>
      </c>
      <c r="B33" s="36">
        <v>20480858</v>
      </c>
      <c r="C33" s="36">
        <v>21669923.130000003</v>
      </c>
      <c r="D33" s="36">
        <v>23663288.989999998</v>
      </c>
      <c r="E33" s="109">
        <v>24654560.070000008</v>
      </c>
      <c r="F33" s="109">
        <v>25833534.990000002</v>
      </c>
      <c r="G33" s="115">
        <v>26856319.289999988</v>
      </c>
      <c r="H33" s="38"/>
      <c r="I33" s="36">
        <v>262350</v>
      </c>
      <c r="J33" s="27">
        <v>1.2809521944832584E-2</v>
      </c>
      <c r="K33" s="36">
        <v>144563.57999999999</v>
      </c>
      <c r="L33" s="27">
        <v>6.6711625663251704E-3</v>
      </c>
      <c r="M33" s="36">
        <v>1019780.52</v>
      </c>
      <c r="N33" s="27">
        <v>4.3095468277083326E-2</v>
      </c>
      <c r="O33" s="109">
        <v>298665.88999999996</v>
      </c>
      <c r="P33" s="27">
        <v>1.211402228034158E-2</v>
      </c>
      <c r="Q33" s="109">
        <v>108961.45000000003</v>
      </c>
      <c r="R33" s="27">
        <v>4.2178296559947492E-3</v>
      </c>
      <c r="S33" s="115">
        <v>121182.74000000002</v>
      </c>
      <c r="T33" s="104">
        <f t="shared" si="3"/>
        <v>4.5122616651762362E-3</v>
      </c>
      <c r="U33" s="38"/>
      <c r="V33" s="36">
        <v>57715</v>
      </c>
      <c r="W33" s="27">
        <v>2.8179971757042602E-3</v>
      </c>
      <c r="X33" s="36">
        <v>19.25</v>
      </c>
      <c r="Y33" s="27">
        <v>8.8832802426281595E-7</v>
      </c>
      <c r="Z33" s="36">
        <v>258128.37</v>
      </c>
      <c r="AA33" s="27">
        <v>1.090838936671415E-2</v>
      </c>
      <c r="AB33" s="109">
        <v>53283.330000000009</v>
      </c>
      <c r="AC33" s="27">
        <v>2.4588610527295396E-3</v>
      </c>
      <c r="AD33" s="109">
        <v>4369.17</v>
      </c>
      <c r="AE33" s="27">
        <v>1.6912784106748373E-4</v>
      </c>
      <c r="AF33" s="115">
        <v>33441.01</v>
      </c>
      <c r="AG33" s="104">
        <f t="shared" si="1"/>
        <v>1.2451821725418582E-3</v>
      </c>
      <c r="AH33" s="214" t="str">
        <f t="shared" si="2"/>
        <v>OK</v>
      </c>
      <c r="AI33" t="s">
        <v>16</v>
      </c>
      <c r="AJ33" s="289">
        <v>26856319.289999988</v>
      </c>
      <c r="AK33" s="289">
        <v>121182.74000000002</v>
      </c>
      <c r="AL33" s="288">
        <v>4.5122616651762362E-3</v>
      </c>
      <c r="AM33" s="289">
        <v>33441.01</v>
      </c>
      <c r="AN33" s="288">
        <v>1.2451821725418582E-3</v>
      </c>
    </row>
    <row r="34" spans="1:40" x14ac:dyDescent="0.25">
      <c r="A34" s="17" t="s">
        <v>17</v>
      </c>
      <c r="B34" s="36">
        <v>16419326</v>
      </c>
      <c r="C34" s="36">
        <v>16965715.059999999</v>
      </c>
      <c r="D34" s="36">
        <v>18103675.109999999</v>
      </c>
      <c r="E34" s="109">
        <v>20249347.920000002</v>
      </c>
      <c r="F34" s="109">
        <v>21957569.520000003</v>
      </c>
      <c r="G34" s="115">
        <v>23498197.5</v>
      </c>
      <c r="H34" s="38"/>
      <c r="I34" s="36">
        <v>1780516</v>
      </c>
      <c r="J34" s="27">
        <v>0.10844026118977113</v>
      </c>
      <c r="K34" s="36">
        <v>1465257.12</v>
      </c>
      <c r="L34" s="27">
        <v>8.6365774434973938E-2</v>
      </c>
      <c r="M34" s="36">
        <v>1245276.7400000002</v>
      </c>
      <c r="N34" s="27">
        <v>6.8785853283024376E-2</v>
      </c>
      <c r="O34" s="109">
        <v>1159518.6599999999</v>
      </c>
      <c r="P34" s="27">
        <v>5.7262024662767502E-2</v>
      </c>
      <c r="Q34" s="109">
        <v>2030140.01</v>
      </c>
      <c r="R34" s="27">
        <v>9.2457410104103355E-2</v>
      </c>
      <c r="S34" s="115">
        <v>1904520.879999999</v>
      </c>
      <c r="T34" s="104">
        <f t="shared" si="3"/>
        <v>8.1049658383371706E-2</v>
      </c>
      <c r="U34" s="38"/>
      <c r="V34" s="36">
        <v>709875</v>
      </c>
      <c r="W34" s="27">
        <v>4.3234113263845297E-2</v>
      </c>
      <c r="X34" s="36">
        <v>458479</v>
      </c>
      <c r="Y34" s="27">
        <v>2.7023853599955489E-2</v>
      </c>
      <c r="Z34" s="36">
        <v>310658.12</v>
      </c>
      <c r="AA34" s="27">
        <v>1.7159947806862735E-2</v>
      </c>
      <c r="AB34" s="109">
        <v>151738.35</v>
      </c>
      <c r="AC34" s="27">
        <v>8.9438228488083558E-3</v>
      </c>
      <c r="AD34" s="109">
        <v>330954.92000000004</v>
      </c>
      <c r="AE34" s="27">
        <v>1.5072475106980784E-2</v>
      </c>
      <c r="AF34" s="115">
        <v>303205.83</v>
      </c>
      <c r="AG34" s="104">
        <f t="shared" si="1"/>
        <v>1.2903365460265622E-2</v>
      </c>
      <c r="AH34" s="214" t="str">
        <f t="shared" si="2"/>
        <v>OK</v>
      </c>
      <c r="AI34" t="s">
        <v>17</v>
      </c>
      <c r="AJ34" s="289">
        <v>23498197.5</v>
      </c>
      <c r="AK34" s="289">
        <v>1904520.879999999</v>
      </c>
      <c r="AL34" s="288">
        <v>8.1049658383371706E-2</v>
      </c>
      <c r="AM34" s="289">
        <v>303205.83</v>
      </c>
      <c r="AN34" s="288">
        <v>1.2903365460265622E-2</v>
      </c>
    </row>
    <row r="35" spans="1:40" x14ac:dyDescent="0.25">
      <c r="A35" s="17" t="s">
        <v>18</v>
      </c>
      <c r="B35" s="36">
        <v>47464961</v>
      </c>
      <c r="C35" s="36">
        <v>49158730.029999994</v>
      </c>
      <c r="D35" s="36">
        <v>50261101.629999995</v>
      </c>
      <c r="E35" s="109">
        <v>55024713.050000004</v>
      </c>
      <c r="F35" s="109">
        <v>57971073.359999992</v>
      </c>
      <c r="G35" s="115">
        <v>60464246.619999997</v>
      </c>
      <c r="H35" s="38"/>
      <c r="I35" s="36">
        <v>6200531</v>
      </c>
      <c r="J35" s="27">
        <v>0.13063385852144702</v>
      </c>
      <c r="K35" s="36">
        <v>7180199.3300000001</v>
      </c>
      <c r="L35" s="27">
        <v>0.14606153018229223</v>
      </c>
      <c r="M35" s="36">
        <v>7317456.8799999999</v>
      </c>
      <c r="N35" s="27">
        <v>0.14558886778622326</v>
      </c>
      <c r="O35" s="109">
        <v>7965563.7799999993</v>
      </c>
      <c r="P35" s="27">
        <v>0.14476338609456862</v>
      </c>
      <c r="Q35" s="109">
        <v>8480247.0600000005</v>
      </c>
      <c r="R35" s="27">
        <v>0.14628411323933441</v>
      </c>
      <c r="S35" s="115">
        <v>9924098.4100000001</v>
      </c>
      <c r="T35" s="104">
        <f t="shared" si="3"/>
        <v>0.16413168053461477</v>
      </c>
      <c r="U35" s="38"/>
      <c r="V35" s="36">
        <v>837806</v>
      </c>
      <c r="W35" s="27">
        <v>1.7651041575700441E-2</v>
      </c>
      <c r="X35" s="36">
        <v>885491.07</v>
      </c>
      <c r="Y35" s="27">
        <v>1.8012895562184238E-2</v>
      </c>
      <c r="Z35" s="36">
        <v>1068370.24</v>
      </c>
      <c r="AA35" s="27">
        <v>2.1256403169689141E-2</v>
      </c>
      <c r="AB35" s="109">
        <v>1434691.1500000001</v>
      </c>
      <c r="AC35" s="27">
        <v>2.918487009579894E-2</v>
      </c>
      <c r="AD35" s="109">
        <v>991050.46999999986</v>
      </c>
      <c r="AE35" s="27">
        <v>1.7095603247598727E-2</v>
      </c>
      <c r="AF35" s="115">
        <v>1286040.3599999992</v>
      </c>
      <c r="AG35" s="104">
        <f t="shared" si="1"/>
        <v>2.1269434945288983E-2</v>
      </c>
      <c r="AH35" s="214" t="str">
        <f t="shared" si="2"/>
        <v>OK</v>
      </c>
      <c r="AI35" t="s">
        <v>18</v>
      </c>
      <c r="AJ35" s="289">
        <v>60464246.619999997</v>
      </c>
      <c r="AK35" s="289">
        <v>9924098.4100000001</v>
      </c>
      <c r="AL35" s="288">
        <v>0.16413168053461477</v>
      </c>
      <c r="AM35" s="289">
        <v>1286040.3599999992</v>
      </c>
      <c r="AN35" s="288">
        <v>2.1269434945288983E-2</v>
      </c>
    </row>
    <row r="36" spans="1:40" x14ac:dyDescent="0.25">
      <c r="A36" s="17" t="s">
        <v>19</v>
      </c>
      <c r="B36" s="36">
        <v>13441050</v>
      </c>
      <c r="C36" s="36">
        <v>13525199.33</v>
      </c>
      <c r="D36" s="36">
        <v>14784151.65</v>
      </c>
      <c r="E36" s="109">
        <v>14841885.27</v>
      </c>
      <c r="F36" s="109">
        <v>15864299.09</v>
      </c>
      <c r="G36" s="115">
        <v>17961596.48</v>
      </c>
      <c r="H36" s="38"/>
      <c r="I36" s="36">
        <v>382921</v>
      </c>
      <c r="J36" s="27">
        <v>2.8488920136447674E-2</v>
      </c>
      <c r="K36" s="36">
        <v>605195.16</v>
      </c>
      <c r="L36" s="27">
        <v>4.4745747935679411E-2</v>
      </c>
      <c r="M36" s="36">
        <v>624238.81999999995</v>
      </c>
      <c r="N36" s="27">
        <v>4.2223513041412822E-2</v>
      </c>
      <c r="O36" s="109">
        <v>396457.42</v>
      </c>
      <c r="P36" s="27">
        <v>2.6712066074339087E-2</v>
      </c>
      <c r="Q36" s="109">
        <v>337624.59</v>
      </c>
      <c r="R36" s="27">
        <v>2.1282036356262371E-2</v>
      </c>
      <c r="S36" s="115">
        <v>586472.32999999984</v>
      </c>
      <c r="T36" s="104">
        <f t="shared" si="3"/>
        <v>3.265145894202829E-2</v>
      </c>
      <c r="U36" s="38"/>
      <c r="V36" s="36">
        <v>30348</v>
      </c>
      <c r="W36" s="27">
        <v>2.2578593190264152E-3</v>
      </c>
      <c r="X36" s="36">
        <v>49303.4</v>
      </c>
      <c r="Y36" s="27">
        <v>3.6452993258769225E-3</v>
      </c>
      <c r="Z36" s="36">
        <v>190505.54</v>
      </c>
      <c r="AA36" s="27">
        <v>1.2885794498732702E-2</v>
      </c>
      <c r="AB36" s="109">
        <v>37880.47</v>
      </c>
      <c r="AC36" s="27">
        <v>2.8007328450958954E-3</v>
      </c>
      <c r="AD36" s="109">
        <v>18208.54</v>
      </c>
      <c r="AE36" s="27">
        <v>1.1477683253890293E-3</v>
      </c>
      <c r="AF36" s="115">
        <v>68542.260000000009</v>
      </c>
      <c r="AG36" s="104">
        <f t="shared" si="1"/>
        <v>3.8160449755299261E-3</v>
      </c>
      <c r="AH36" s="214" t="str">
        <f t="shared" si="2"/>
        <v>OK</v>
      </c>
      <c r="AI36" t="s">
        <v>19</v>
      </c>
      <c r="AJ36" s="289">
        <v>17961596.48</v>
      </c>
      <c r="AK36" s="289">
        <v>586472.32999999984</v>
      </c>
      <c r="AL36" s="288">
        <v>3.265145894202829E-2</v>
      </c>
      <c r="AM36" s="289">
        <v>68542.260000000009</v>
      </c>
      <c r="AN36" s="288">
        <v>3.8160449755299261E-3</v>
      </c>
    </row>
    <row r="37" spans="1:40" x14ac:dyDescent="0.25">
      <c r="A37" s="17" t="s">
        <v>31</v>
      </c>
      <c r="B37" s="36"/>
      <c r="C37" s="36">
        <v>7013654.3099999996</v>
      </c>
      <c r="D37" s="36">
        <v>11137856.510000002</v>
      </c>
      <c r="E37" s="109">
        <v>10769000.609999999</v>
      </c>
      <c r="F37" s="109">
        <v>11513718.52</v>
      </c>
      <c r="G37" s="115">
        <v>12172337.279999999</v>
      </c>
      <c r="H37" s="38"/>
      <c r="I37" s="36"/>
      <c r="J37" s="27"/>
      <c r="K37" s="36">
        <v>29339.31</v>
      </c>
      <c r="L37" s="27">
        <v>4.183170242389663E-3</v>
      </c>
      <c r="M37" s="36">
        <v>332882.07</v>
      </c>
      <c r="N37" s="27">
        <v>2.9887444653387794E-2</v>
      </c>
      <c r="O37" s="109">
        <v>72335.28</v>
      </c>
      <c r="P37" s="27">
        <v>6.7169909836229461E-3</v>
      </c>
      <c r="Q37" s="109">
        <v>69030.62</v>
      </c>
      <c r="R37" s="27">
        <v>5.9955104756199999E-3</v>
      </c>
      <c r="S37" s="115">
        <v>32784.090000000004</v>
      </c>
      <c r="T37" s="104">
        <f t="shared" si="3"/>
        <v>2.6933274395761738E-3</v>
      </c>
      <c r="U37" s="38"/>
      <c r="V37" s="36"/>
      <c r="W37" s="27"/>
      <c r="X37" s="36">
        <v>5357.49</v>
      </c>
      <c r="Y37" s="27">
        <v>7.6386570583630603E-4</v>
      </c>
      <c r="Z37" s="36">
        <v>71306.180000000008</v>
      </c>
      <c r="AA37" s="27">
        <v>6.4021456853909494E-3</v>
      </c>
      <c r="AB37" s="109">
        <v>2054.06</v>
      </c>
      <c r="AC37" s="27">
        <v>2.9286587408098246E-4</v>
      </c>
      <c r="AD37" s="109">
        <v>0</v>
      </c>
      <c r="AE37" s="27">
        <v>0</v>
      </c>
      <c r="AF37" s="115"/>
      <c r="AG37" s="104">
        <f t="shared" si="1"/>
        <v>0</v>
      </c>
      <c r="AH37" s="214" t="str">
        <f t="shared" si="2"/>
        <v>OK</v>
      </c>
      <c r="AI37" t="s">
        <v>31</v>
      </c>
      <c r="AJ37" s="289">
        <v>12172337.279999999</v>
      </c>
      <c r="AK37" s="289">
        <v>32784.090000000004</v>
      </c>
      <c r="AL37" s="288">
        <v>2.6933274395761738E-3</v>
      </c>
      <c r="AN37" s="288">
        <v>0</v>
      </c>
    </row>
    <row r="38" spans="1:40" x14ac:dyDescent="0.25">
      <c r="A38" s="17" t="s">
        <v>20</v>
      </c>
      <c r="B38" s="36">
        <v>7470732</v>
      </c>
      <c r="C38" s="36">
        <v>7440806.1299999999</v>
      </c>
      <c r="D38" s="36">
        <v>7827700.5800000001</v>
      </c>
      <c r="E38" s="109">
        <v>8042014.5</v>
      </c>
      <c r="F38" s="109">
        <v>8796220.0500000007</v>
      </c>
      <c r="G38" s="115">
        <v>10022708.609999999</v>
      </c>
      <c r="H38" s="38"/>
      <c r="I38" s="36">
        <v>278906</v>
      </c>
      <c r="J38" s="27">
        <v>3.733315557297464E-2</v>
      </c>
      <c r="K38" s="36">
        <v>263104.62</v>
      </c>
      <c r="L38" s="27">
        <v>3.5359692942302207E-2</v>
      </c>
      <c r="M38" s="36">
        <v>31693.7</v>
      </c>
      <c r="N38" s="27">
        <v>4.04891572896622E-3</v>
      </c>
      <c r="O38" s="109">
        <v>10261.35</v>
      </c>
      <c r="P38" s="27">
        <v>1.2759676073700191E-3</v>
      </c>
      <c r="Q38" s="109">
        <v>122015.74</v>
      </c>
      <c r="R38" s="27">
        <v>1.3871383310834748E-2</v>
      </c>
      <c r="S38" s="115">
        <v>122940.65</v>
      </c>
      <c r="T38" s="104">
        <f t="shared" si="3"/>
        <v>1.2266210141771247E-2</v>
      </c>
      <c r="U38" s="38"/>
      <c r="V38" s="36">
        <v>80708</v>
      </c>
      <c r="W38" s="27">
        <v>1.0803225172580144E-2</v>
      </c>
      <c r="X38" s="36">
        <v>105428.87</v>
      </c>
      <c r="Y38" s="27">
        <v>1.4169011819153525E-2</v>
      </c>
      <c r="Z38" s="36">
        <v>1335</v>
      </c>
      <c r="AA38" s="27">
        <v>1.7054816882124533E-4</v>
      </c>
      <c r="AB38" s="109">
        <v>0</v>
      </c>
      <c r="AC38" s="27">
        <v>0</v>
      </c>
      <c r="AD38" s="109">
        <v>52774.83</v>
      </c>
      <c r="AE38" s="27">
        <v>5.9997168897565267E-3</v>
      </c>
      <c r="AF38" s="115">
        <v>75317.38</v>
      </c>
      <c r="AG38" s="104">
        <f t="shared" si="1"/>
        <v>7.514673221653204E-3</v>
      </c>
      <c r="AH38" s="214" t="str">
        <f t="shared" si="2"/>
        <v>OK</v>
      </c>
      <c r="AI38" t="s">
        <v>20</v>
      </c>
      <c r="AJ38" s="289">
        <v>10022708.609999999</v>
      </c>
      <c r="AK38" s="289">
        <v>122940.65</v>
      </c>
      <c r="AL38" s="288">
        <v>1.2266210141771247E-2</v>
      </c>
      <c r="AM38" s="289">
        <v>75317.38</v>
      </c>
      <c r="AN38" s="288">
        <v>7.514673221653204E-3</v>
      </c>
    </row>
    <row r="39" spans="1:40" x14ac:dyDescent="0.25">
      <c r="A39" s="17" t="s">
        <v>27</v>
      </c>
      <c r="B39" s="36">
        <v>1906942</v>
      </c>
      <c r="C39" s="36">
        <v>1939107.37</v>
      </c>
      <c r="D39" s="36">
        <v>1934119.14</v>
      </c>
      <c r="E39" s="109">
        <v>1993947.72</v>
      </c>
      <c r="F39" s="109">
        <v>1999215.71</v>
      </c>
      <c r="G39" s="115">
        <v>1996243.24</v>
      </c>
      <c r="H39" s="38"/>
      <c r="I39" s="36">
        <v>0</v>
      </c>
      <c r="J39" s="27">
        <v>0</v>
      </c>
      <c r="K39" s="36">
        <v>4119.28</v>
      </c>
      <c r="L39" s="27">
        <v>2.1243176441539694E-3</v>
      </c>
      <c r="M39" s="36">
        <v>0</v>
      </c>
      <c r="N39" s="27">
        <v>0</v>
      </c>
      <c r="O39" s="109">
        <v>0</v>
      </c>
      <c r="P39" s="27">
        <v>0</v>
      </c>
      <c r="Q39" s="109">
        <v>0</v>
      </c>
      <c r="R39" s="27">
        <v>0</v>
      </c>
      <c r="S39" s="115">
        <v>2874.25</v>
      </c>
      <c r="T39" s="104">
        <f t="shared" si="3"/>
        <v>1.4398295470245399E-3</v>
      </c>
      <c r="U39" s="38"/>
      <c r="V39" s="36">
        <v>0</v>
      </c>
      <c r="W39" s="27">
        <v>0</v>
      </c>
      <c r="X39" s="36">
        <v>0</v>
      </c>
      <c r="Y39" s="27">
        <v>0</v>
      </c>
      <c r="Z39" s="36">
        <v>0</v>
      </c>
      <c r="AA39" s="27">
        <v>0</v>
      </c>
      <c r="AB39" s="109">
        <v>0</v>
      </c>
      <c r="AC39" s="27">
        <v>0</v>
      </c>
      <c r="AD39" s="109">
        <v>0</v>
      </c>
      <c r="AE39" s="27">
        <v>0</v>
      </c>
      <c r="AF39" s="115">
        <v>2874.25</v>
      </c>
      <c r="AG39" s="104">
        <f t="shared" si="1"/>
        <v>1.4398295470245399E-3</v>
      </c>
      <c r="AH39" s="214" t="str">
        <f t="shared" si="2"/>
        <v>OK</v>
      </c>
      <c r="AI39" t="s">
        <v>27</v>
      </c>
      <c r="AJ39" s="289">
        <v>1996243.24</v>
      </c>
      <c r="AK39" s="289">
        <v>2874.25</v>
      </c>
      <c r="AL39" s="288">
        <v>1.4398295470245399E-3</v>
      </c>
      <c r="AM39" s="289">
        <v>2874.25</v>
      </c>
      <c r="AN39" s="288">
        <v>1.4398295470245399E-3</v>
      </c>
    </row>
    <row r="40" spans="1:40" x14ac:dyDescent="0.25">
      <c r="A40" s="17" t="s">
        <v>32</v>
      </c>
      <c r="B40" s="36">
        <v>31081812</v>
      </c>
      <c r="C40" s="36">
        <v>30407324.059999999</v>
      </c>
      <c r="D40" s="36">
        <v>32159767.470000003</v>
      </c>
      <c r="E40" s="109">
        <v>32673503.070000004</v>
      </c>
      <c r="F40" s="109">
        <v>33755204.050000004</v>
      </c>
      <c r="G40" s="115">
        <v>36544640.450000003</v>
      </c>
      <c r="H40" s="38"/>
      <c r="I40" s="36">
        <v>139174</v>
      </c>
      <c r="J40" s="27">
        <v>4.4776668747626425E-3</v>
      </c>
      <c r="K40" s="36">
        <v>125464.10999999999</v>
      </c>
      <c r="L40" s="27">
        <v>4.1261148055130765E-3</v>
      </c>
      <c r="M40" s="36">
        <v>252943.41999999998</v>
      </c>
      <c r="N40" s="27">
        <v>7.8652129632453462E-3</v>
      </c>
      <c r="O40" s="109">
        <v>166480.63999999998</v>
      </c>
      <c r="P40" s="27">
        <v>5.0952797942519475E-3</v>
      </c>
      <c r="Q40" s="109">
        <v>134689.10999999999</v>
      </c>
      <c r="R40" s="27">
        <v>3.990173183385036E-3</v>
      </c>
      <c r="S40" s="115">
        <v>110182.54999999997</v>
      </c>
      <c r="T40" s="104">
        <f t="shared" si="3"/>
        <v>3.0150125611647649E-3</v>
      </c>
      <c r="U40" s="38"/>
      <c r="V40" s="36">
        <v>6208</v>
      </c>
      <c r="W40" s="27">
        <v>1.9973095519656319E-4</v>
      </c>
      <c r="X40" s="36">
        <v>24660.300000000003</v>
      </c>
      <c r="Y40" s="27">
        <v>8.1099869068846969E-4</v>
      </c>
      <c r="Z40" s="36">
        <v>103808.09000000001</v>
      </c>
      <c r="AA40" s="27">
        <v>3.2278868339715642E-3</v>
      </c>
      <c r="AB40" s="109">
        <v>54438.45</v>
      </c>
      <c r="AC40" s="27">
        <v>1.7903071606229332E-3</v>
      </c>
      <c r="AD40" s="109">
        <v>86748.5</v>
      </c>
      <c r="AE40" s="27">
        <v>2.5699296580018747E-3</v>
      </c>
      <c r="AF40" s="115">
        <v>34358</v>
      </c>
      <c r="AG40" s="104">
        <f t="shared" si="1"/>
        <v>9.401652219566439E-4</v>
      </c>
      <c r="AH40" s="214" t="str">
        <f t="shared" si="2"/>
        <v>OK</v>
      </c>
      <c r="AI40" t="s">
        <v>32</v>
      </c>
      <c r="AJ40" s="289">
        <v>36544640.450000003</v>
      </c>
      <c r="AK40" s="289">
        <v>110182.54999999997</v>
      </c>
      <c r="AL40" s="288">
        <v>3.0150125611647649E-3</v>
      </c>
      <c r="AM40" s="289">
        <v>34358</v>
      </c>
      <c r="AN40" s="288">
        <v>9.401652219566439E-4</v>
      </c>
    </row>
    <row r="41" spans="1:40" x14ac:dyDescent="0.25">
      <c r="A41" s="17" t="s">
        <v>21</v>
      </c>
      <c r="B41" s="36">
        <v>28642017</v>
      </c>
      <c r="C41" s="36">
        <v>28424472.259999994</v>
      </c>
      <c r="D41" s="36">
        <v>27958890.930000007</v>
      </c>
      <c r="E41" s="109">
        <v>28892953.979999997</v>
      </c>
      <c r="F41" s="109">
        <v>29973462.350000005</v>
      </c>
      <c r="G41" s="115">
        <v>31390435.940000009</v>
      </c>
      <c r="H41" s="38"/>
      <c r="I41" s="36">
        <v>397876</v>
      </c>
      <c r="J41" s="27">
        <v>1.3891340124545E-2</v>
      </c>
      <c r="K41" s="36">
        <v>2326910.33</v>
      </c>
      <c r="L41" s="27">
        <v>8.1862921102479613E-2</v>
      </c>
      <c r="M41" s="36">
        <v>1129342.3999999999</v>
      </c>
      <c r="N41" s="27">
        <v>4.0392961324092105E-2</v>
      </c>
      <c r="O41" s="109">
        <v>1872740.1200000003</v>
      </c>
      <c r="P41" s="27">
        <v>6.481649890476171E-2</v>
      </c>
      <c r="Q41" s="109">
        <v>1693681.6200000003</v>
      </c>
      <c r="R41" s="27">
        <v>5.6506038582492958E-2</v>
      </c>
      <c r="S41" s="115">
        <v>2150582.5999999987</v>
      </c>
      <c r="T41" s="104">
        <f t="shared" si="3"/>
        <v>6.8510759267907062E-2</v>
      </c>
      <c r="U41" s="38"/>
      <c r="V41" s="36">
        <v>149040</v>
      </c>
      <c r="W41" s="27">
        <v>5.2035441498411231E-3</v>
      </c>
      <c r="X41" s="36">
        <v>930068.7</v>
      </c>
      <c r="Y41" s="27">
        <v>3.2720702481038783E-2</v>
      </c>
      <c r="Z41" s="36">
        <v>430236.43999999994</v>
      </c>
      <c r="AA41" s="27">
        <v>1.5388179777129659E-2</v>
      </c>
      <c r="AB41" s="109">
        <v>768667.60000000009</v>
      </c>
      <c r="AC41" s="27">
        <v>2.7042458096282709E-2</v>
      </c>
      <c r="AD41" s="109">
        <v>631102.95000000007</v>
      </c>
      <c r="AE41" s="27">
        <v>2.1055390352659742E-2</v>
      </c>
      <c r="AF41" s="115">
        <v>425530.86999999988</v>
      </c>
      <c r="AG41" s="104">
        <f t="shared" si="1"/>
        <v>1.355606754915299E-2</v>
      </c>
      <c r="AH41" s="214" t="str">
        <f t="shared" si="2"/>
        <v>OK</v>
      </c>
      <c r="AI41" t="s">
        <v>21</v>
      </c>
      <c r="AJ41" s="289">
        <v>31390435.940000009</v>
      </c>
      <c r="AK41" s="289">
        <v>2150582.5999999987</v>
      </c>
      <c r="AL41" s="288">
        <v>6.8510759267907062E-2</v>
      </c>
      <c r="AM41" s="289">
        <v>425530.86999999988</v>
      </c>
      <c r="AN41" s="288">
        <v>1.355606754915299E-2</v>
      </c>
    </row>
    <row r="42" spans="1:40" x14ac:dyDescent="0.25">
      <c r="A42" s="17" t="s">
        <v>43</v>
      </c>
      <c r="B42" s="36">
        <v>69911617</v>
      </c>
      <c r="C42" s="36">
        <v>72092119.439999998</v>
      </c>
      <c r="D42" s="36">
        <v>74191462.180000007</v>
      </c>
      <c r="E42" s="109">
        <v>77981333.159999996</v>
      </c>
      <c r="F42" s="109">
        <v>81933299.61999996</v>
      </c>
      <c r="G42" s="115">
        <v>86089811.99999997</v>
      </c>
      <c r="H42" s="38"/>
      <c r="I42" s="36">
        <v>3707442</v>
      </c>
      <c r="J42" s="27">
        <v>5.3030414101278761E-2</v>
      </c>
      <c r="K42" s="36">
        <v>4223247.879999998</v>
      </c>
      <c r="L42" s="27">
        <v>5.8581269531337257E-2</v>
      </c>
      <c r="M42" s="36">
        <v>1327221.9500000002</v>
      </c>
      <c r="N42" s="27">
        <v>1.7889146688873089E-2</v>
      </c>
      <c r="O42" s="109">
        <v>1749184.1400000006</v>
      </c>
      <c r="P42" s="27">
        <v>2.2430805798242404E-2</v>
      </c>
      <c r="Q42" s="109">
        <v>1729472.1</v>
      </c>
      <c r="R42" s="27">
        <v>2.1108293063029956E-2</v>
      </c>
      <c r="S42" s="115">
        <v>2454200.7299999967</v>
      </c>
      <c r="T42" s="104">
        <f t="shared" si="3"/>
        <v>2.8507446734812217E-2</v>
      </c>
      <c r="U42" s="38"/>
      <c r="V42" s="36">
        <v>1057942</v>
      </c>
      <c r="W42" s="27">
        <v>1.5132563734007183E-2</v>
      </c>
      <c r="X42" s="36">
        <v>2389169.6399999997</v>
      </c>
      <c r="Y42" s="27">
        <v>3.3140510482403428E-2</v>
      </c>
      <c r="Z42" s="36">
        <v>331505.75</v>
      </c>
      <c r="AA42" s="27">
        <v>4.4682466184008552E-3</v>
      </c>
      <c r="AB42" s="109">
        <v>293118.32999999984</v>
      </c>
      <c r="AC42" s="27">
        <v>4.065885873198013E-3</v>
      </c>
      <c r="AD42" s="109">
        <v>442123.72</v>
      </c>
      <c r="AE42" s="27">
        <v>5.3961420088112421E-3</v>
      </c>
      <c r="AF42" s="115">
        <v>966657.37999999884</v>
      </c>
      <c r="AG42" s="104">
        <f t="shared" si="1"/>
        <v>1.1228475908392032E-2</v>
      </c>
      <c r="AH42" s="214" t="str">
        <f t="shared" si="2"/>
        <v>No</v>
      </c>
      <c r="AI42" t="s">
        <v>398</v>
      </c>
      <c r="AJ42" s="289">
        <v>86089811.99999997</v>
      </c>
      <c r="AK42" s="289">
        <v>2454200.7299999967</v>
      </c>
      <c r="AL42" s="288">
        <v>2.8507446734812217E-2</v>
      </c>
      <c r="AM42" s="289">
        <v>966657.37999999884</v>
      </c>
      <c r="AN42" s="288">
        <v>1.1228475908392032E-2</v>
      </c>
    </row>
    <row r="43" spans="1:40" x14ac:dyDescent="0.25">
      <c r="A43" s="17" t="s">
        <v>44</v>
      </c>
      <c r="B43" s="36">
        <v>61279817</v>
      </c>
      <c r="C43" s="36">
        <v>65182266.359999977</v>
      </c>
      <c r="D43" s="36">
        <v>67957766.090000004</v>
      </c>
      <c r="E43" s="109">
        <v>70114985.319999978</v>
      </c>
      <c r="F43" s="109">
        <v>71158850.00999999</v>
      </c>
      <c r="G43" s="115">
        <v>70580532.390000015</v>
      </c>
      <c r="H43" s="38"/>
      <c r="I43" s="36">
        <v>2276382</v>
      </c>
      <c r="J43" s="27">
        <v>3.7147336781374524E-2</v>
      </c>
      <c r="K43" s="36">
        <v>9966357.790000001</v>
      </c>
      <c r="L43" s="27">
        <v>0.15289983528581322</v>
      </c>
      <c r="M43" s="36">
        <v>4285123.3199999994</v>
      </c>
      <c r="N43" s="27">
        <v>6.3055682470859742E-2</v>
      </c>
      <c r="O43" s="109">
        <v>6478381.9300000016</v>
      </c>
      <c r="P43" s="27">
        <v>9.2396538349585486E-2</v>
      </c>
      <c r="Q43" s="109">
        <v>2789325.1700000009</v>
      </c>
      <c r="R43" s="27">
        <v>3.9198570095048131E-2</v>
      </c>
      <c r="S43" s="115">
        <v>1933643.99</v>
      </c>
      <c r="T43" s="104">
        <f t="shared" si="3"/>
        <v>2.7396279462946673E-2</v>
      </c>
      <c r="U43" s="38"/>
      <c r="V43" s="36">
        <v>960155</v>
      </c>
      <c r="W43" s="27">
        <v>1.5668372508357849E-2</v>
      </c>
      <c r="X43" s="36">
        <v>3825209.0999999992</v>
      </c>
      <c r="Y43" s="27">
        <v>5.8684812812022639E-2</v>
      </c>
      <c r="Z43" s="36">
        <v>1040553.57</v>
      </c>
      <c r="AA43" s="27">
        <v>1.5311768321253243E-2</v>
      </c>
      <c r="AB43" s="109">
        <v>2639613.0300000003</v>
      </c>
      <c r="AC43" s="27">
        <v>4.0495876829772771E-2</v>
      </c>
      <c r="AD43" s="109">
        <v>805124.00999999989</v>
      </c>
      <c r="AE43" s="27">
        <v>1.1314460673364668E-2</v>
      </c>
      <c r="AF43" s="115">
        <v>500620.19000000012</v>
      </c>
      <c r="AG43" s="104">
        <f t="shared" si="1"/>
        <v>7.0928933665981948E-3</v>
      </c>
      <c r="AH43" s="214" t="str">
        <f t="shared" si="2"/>
        <v>No</v>
      </c>
      <c r="AI43" t="s">
        <v>399</v>
      </c>
      <c r="AJ43" s="289">
        <v>70580532.390000015</v>
      </c>
      <c r="AK43" s="289">
        <v>1933643.99</v>
      </c>
      <c r="AL43" s="288">
        <v>2.7396279462946673E-2</v>
      </c>
      <c r="AM43" s="289">
        <v>500620.19000000012</v>
      </c>
      <c r="AN43" s="288">
        <v>7.0928933665981948E-3</v>
      </c>
    </row>
    <row r="44" spans="1:40" x14ac:dyDescent="0.25">
      <c r="A44" s="17" t="s">
        <v>35</v>
      </c>
      <c r="B44" s="36">
        <v>3200838</v>
      </c>
      <c r="C44" s="36">
        <v>3814575.41</v>
      </c>
      <c r="D44" s="36">
        <v>4582397.62</v>
      </c>
      <c r="E44" s="109">
        <v>4099934.49</v>
      </c>
      <c r="F44" s="109">
        <v>5839695.25</v>
      </c>
      <c r="G44" s="115">
        <v>4507023.97</v>
      </c>
      <c r="H44" s="38"/>
      <c r="I44" s="36">
        <v>0</v>
      </c>
      <c r="J44" s="27">
        <v>0</v>
      </c>
      <c r="K44" s="36">
        <v>330.84</v>
      </c>
      <c r="L44" s="27">
        <v>8.6730491454617742E-5</v>
      </c>
      <c r="M44" s="36">
        <v>153980.76</v>
      </c>
      <c r="N44" s="27">
        <v>3.3602662354734726E-2</v>
      </c>
      <c r="O44" s="109">
        <v>14433.33</v>
      </c>
      <c r="P44" s="27">
        <v>3.5203806390574788E-3</v>
      </c>
      <c r="Q44" s="109">
        <v>0</v>
      </c>
      <c r="R44" s="27">
        <v>0</v>
      </c>
      <c r="S44" s="115">
        <v>15000</v>
      </c>
      <c r="T44" s="104">
        <f t="shared" si="3"/>
        <v>3.3281385011138514E-3</v>
      </c>
      <c r="U44" s="38"/>
      <c r="V44" s="36">
        <v>0</v>
      </c>
      <c r="W44" s="27">
        <v>0</v>
      </c>
      <c r="X44" s="36">
        <v>0</v>
      </c>
      <c r="Y44" s="27">
        <v>0</v>
      </c>
      <c r="Z44" s="36">
        <v>107604.66</v>
      </c>
      <c r="AA44" s="27">
        <v>2.34821743818905E-2</v>
      </c>
      <c r="AB44" s="109">
        <v>0</v>
      </c>
      <c r="AC44" s="27">
        <v>0</v>
      </c>
      <c r="AD44" s="109">
        <v>0</v>
      </c>
      <c r="AE44" s="27">
        <v>0</v>
      </c>
      <c r="AF44" s="115"/>
      <c r="AG44" s="104">
        <f t="shared" si="1"/>
        <v>0</v>
      </c>
      <c r="AH44" s="214" t="str">
        <f t="shared" si="2"/>
        <v>OK</v>
      </c>
      <c r="AI44" t="s">
        <v>35</v>
      </c>
      <c r="AJ44" s="289">
        <v>4507023.97</v>
      </c>
      <c r="AK44" s="289">
        <v>15000</v>
      </c>
      <c r="AL44" s="288">
        <v>3.3281385011138514E-3</v>
      </c>
      <c r="AN44" s="288">
        <v>0</v>
      </c>
    </row>
    <row r="45" spans="1:40" x14ac:dyDescent="0.25">
      <c r="A45" s="17" t="s">
        <v>36</v>
      </c>
      <c r="B45" s="36">
        <v>630417</v>
      </c>
      <c r="C45" s="36">
        <v>646565.37</v>
      </c>
      <c r="D45" s="36">
        <v>641938.41</v>
      </c>
      <c r="E45" s="109">
        <v>658295.02</v>
      </c>
      <c r="F45" s="109">
        <v>691330.19</v>
      </c>
      <c r="G45" s="115">
        <v>725475.2</v>
      </c>
      <c r="H45" s="38"/>
      <c r="I45" s="36">
        <v>0</v>
      </c>
      <c r="J45" s="27">
        <v>0</v>
      </c>
      <c r="K45" s="36">
        <v>0</v>
      </c>
      <c r="L45" s="27">
        <v>0</v>
      </c>
      <c r="M45" s="36">
        <v>0</v>
      </c>
      <c r="N45" s="27">
        <v>0</v>
      </c>
      <c r="O45" s="109">
        <v>0</v>
      </c>
      <c r="P45" s="27">
        <v>0</v>
      </c>
      <c r="Q45" s="109">
        <v>0</v>
      </c>
      <c r="R45" s="27">
        <v>0</v>
      </c>
      <c r="S45" s="115">
        <v>8964.89</v>
      </c>
      <c r="T45" s="104">
        <f t="shared" si="3"/>
        <v>1.2357265968567913E-2</v>
      </c>
      <c r="U45" s="38"/>
      <c r="V45" s="36">
        <v>0</v>
      </c>
      <c r="W45" s="27">
        <v>0</v>
      </c>
      <c r="X45" s="36">
        <v>0</v>
      </c>
      <c r="Y45" s="27">
        <v>0</v>
      </c>
      <c r="Z45" s="36">
        <v>0</v>
      </c>
      <c r="AA45" s="27">
        <v>0</v>
      </c>
      <c r="AB45" s="109">
        <v>0</v>
      </c>
      <c r="AC45" s="27">
        <v>0</v>
      </c>
      <c r="AD45" s="109">
        <v>0</v>
      </c>
      <c r="AE45" s="27">
        <v>0</v>
      </c>
      <c r="AF45" s="115"/>
      <c r="AG45" s="104">
        <f t="shared" si="1"/>
        <v>0</v>
      </c>
      <c r="AH45" s="214" t="str">
        <f t="shared" si="2"/>
        <v>OK</v>
      </c>
      <c r="AI45" t="s">
        <v>36</v>
      </c>
      <c r="AJ45" s="289">
        <v>725475.2</v>
      </c>
      <c r="AK45" s="289">
        <v>8964.89</v>
      </c>
      <c r="AL45" s="288">
        <v>1.2357265968567913E-2</v>
      </c>
      <c r="AN45" s="288">
        <v>0</v>
      </c>
    </row>
    <row r="46" spans="1:40" x14ac:dyDescent="0.25">
      <c r="A46" s="17" t="s">
        <v>37</v>
      </c>
      <c r="B46" s="36">
        <v>14371336</v>
      </c>
      <c r="C46" s="36">
        <v>15084982.17</v>
      </c>
      <c r="D46" s="36">
        <v>15650635.289999997</v>
      </c>
      <c r="E46" s="109">
        <v>15870382.540000001</v>
      </c>
      <c r="F46" s="109">
        <v>16497895.48</v>
      </c>
      <c r="G46" s="115">
        <v>17008038.670000002</v>
      </c>
      <c r="H46" s="38"/>
      <c r="I46" s="36">
        <v>413256</v>
      </c>
      <c r="J46" s="27">
        <v>2.8755572898720064E-2</v>
      </c>
      <c r="K46" s="36">
        <v>265932.07</v>
      </c>
      <c r="L46" s="27">
        <v>1.7628928360874558E-2</v>
      </c>
      <c r="M46" s="36">
        <v>33759.1</v>
      </c>
      <c r="N46" s="27">
        <v>2.1570434282351743E-3</v>
      </c>
      <c r="O46" s="109">
        <v>25050.67</v>
      </c>
      <c r="P46" s="27">
        <v>1.578454075499556E-3</v>
      </c>
      <c r="Q46" s="109">
        <v>121559.02999999998</v>
      </c>
      <c r="R46" s="27">
        <v>7.3681537228407739E-3</v>
      </c>
      <c r="S46" s="115">
        <v>242193.22999999998</v>
      </c>
      <c r="T46" s="104">
        <f t="shared" si="3"/>
        <v>1.4239927054446188E-2</v>
      </c>
      <c r="U46" s="38"/>
      <c r="V46" s="36">
        <v>217958</v>
      </c>
      <c r="W46" s="27">
        <v>1.5166161308872049E-2</v>
      </c>
      <c r="X46" s="36">
        <v>36.26</v>
      </c>
      <c r="Y46" s="27">
        <v>2.40371513810016E-6</v>
      </c>
      <c r="Z46" s="36">
        <v>0</v>
      </c>
      <c r="AA46" s="27">
        <v>0</v>
      </c>
      <c r="AB46" s="109">
        <v>0</v>
      </c>
      <c r="AC46" s="27">
        <v>0</v>
      </c>
      <c r="AD46" s="109">
        <v>0</v>
      </c>
      <c r="AE46" s="27">
        <v>0</v>
      </c>
      <c r="AF46" s="115">
        <v>22663.420000000002</v>
      </c>
      <c r="AG46" s="104">
        <f t="shared" si="1"/>
        <v>1.3325122572760471E-3</v>
      </c>
      <c r="AH46" s="214" t="str">
        <f t="shared" si="2"/>
        <v>OK</v>
      </c>
      <c r="AI46" t="s">
        <v>37</v>
      </c>
      <c r="AJ46" s="289">
        <v>17008038.670000002</v>
      </c>
      <c r="AK46" s="289">
        <v>242193.22999999998</v>
      </c>
      <c r="AL46" s="288">
        <v>1.4239927054446188E-2</v>
      </c>
      <c r="AM46" s="289">
        <v>22663.420000000002</v>
      </c>
      <c r="AN46" s="288">
        <v>1.3325122572760471E-3</v>
      </c>
    </row>
    <row r="47" spans="1:40" x14ac:dyDescent="0.25">
      <c r="A47" s="17" t="s">
        <v>38</v>
      </c>
      <c r="B47" s="36">
        <v>8960857</v>
      </c>
      <c r="C47" s="36">
        <v>9059058.0899999999</v>
      </c>
      <c r="D47" s="36">
        <v>9694088.5199999996</v>
      </c>
      <c r="E47" s="109">
        <v>9931150.4199999999</v>
      </c>
      <c r="F47" s="109">
        <v>10689424.470000003</v>
      </c>
      <c r="G47" s="115">
        <v>11707847.209999999</v>
      </c>
      <c r="H47" s="38"/>
      <c r="I47" s="36">
        <v>97718</v>
      </c>
      <c r="J47" s="27">
        <v>1.0904983753228067E-2</v>
      </c>
      <c r="K47" s="36">
        <v>126720.43</v>
      </c>
      <c r="L47" s="27">
        <v>1.3988256697446565E-2</v>
      </c>
      <c r="M47" s="36">
        <v>161224.59</v>
      </c>
      <c r="N47" s="27">
        <v>1.6631227336884272E-2</v>
      </c>
      <c r="O47" s="109">
        <v>169987.26</v>
      </c>
      <c r="P47" s="27">
        <v>1.7116572885420057E-2</v>
      </c>
      <c r="Q47" s="109">
        <v>35547.979999999996</v>
      </c>
      <c r="R47" s="27">
        <v>3.3255279645565414E-3</v>
      </c>
      <c r="S47" s="115">
        <v>154544.03999999995</v>
      </c>
      <c r="T47" s="104">
        <f t="shared" si="3"/>
        <v>1.320003901895812E-2</v>
      </c>
      <c r="U47" s="38"/>
      <c r="V47" s="36">
        <v>8942</v>
      </c>
      <c r="W47" s="27">
        <v>9.9789562538493801E-4</v>
      </c>
      <c r="X47" s="36">
        <v>0</v>
      </c>
      <c r="Y47" s="27">
        <v>0</v>
      </c>
      <c r="Z47" s="36">
        <v>7779.35</v>
      </c>
      <c r="AA47" s="27">
        <v>8.0248390387093361E-4</v>
      </c>
      <c r="AB47" s="109">
        <v>61207.909999999996</v>
      </c>
      <c r="AC47" s="27">
        <v>6.7565423901592399E-3</v>
      </c>
      <c r="AD47" s="109">
        <v>0</v>
      </c>
      <c r="AE47" s="27">
        <v>0</v>
      </c>
      <c r="AF47" s="115"/>
      <c r="AG47" s="104">
        <f t="shared" si="1"/>
        <v>0</v>
      </c>
      <c r="AH47" s="214" t="str">
        <f t="shared" si="2"/>
        <v>OK</v>
      </c>
      <c r="AI47" t="s">
        <v>38</v>
      </c>
      <c r="AJ47" s="289">
        <v>11707847.209999999</v>
      </c>
      <c r="AK47" s="289">
        <v>154544.03999999995</v>
      </c>
      <c r="AL47" s="288">
        <v>1.320003901895812E-2</v>
      </c>
      <c r="AN47" s="288">
        <v>0</v>
      </c>
    </row>
    <row r="48" spans="1:40" x14ac:dyDescent="0.25">
      <c r="A48" s="17" t="s">
        <v>39</v>
      </c>
      <c r="B48" s="36">
        <v>1399763</v>
      </c>
      <c r="C48" s="36">
        <v>1412727.14</v>
      </c>
      <c r="D48" s="36">
        <v>1445615.9300000002</v>
      </c>
      <c r="E48" s="109">
        <v>1526995.56</v>
      </c>
      <c r="F48" s="109">
        <v>1536595.76</v>
      </c>
      <c r="G48" s="115">
        <v>1610404.72</v>
      </c>
      <c r="H48" s="38"/>
      <c r="I48" s="36">
        <v>0</v>
      </c>
      <c r="J48" s="27">
        <v>0</v>
      </c>
      <c r="K48" s="36">
        <v>0</v>
      </c>
      <c r="L48" s="27">
        <v>0</v>
      </c>
      <c r="M48" s="36">
        <v>0</v>
      </c>
      <c r="N48" s="27">
        <v>0</v>
      </c>
      <c r="O48" s="109">
        <v>0</v>
      </c>
      <c r="P48" s="27">
        <v>0</v>
      </c>
      <c r="Q48" s="109">
        <v>4461.54</v>
      </c>
      <c r="R48" s="27">
        <v>2.9035222640468564E-3</v>
      </c>
      <c r="S48" s="115"/>
      <c r="T48" s="104">
        <f t="shared" si="3"/>
        <v>0</v>
      </c>
      <c r="U48" s="38"/>
      <c r="V48" s="36">
        <v>0</v>
      </c>
      <c r="W48" s="27">
        <v>0</v>
      </c>
      <c r="X48" s="36">
        <v>0</v>
      </c>
      <c r="Y48" s="27">
        <v>0</v>
      </c>
      <c r="Z48" s="36">
        <v>0</v>
      </c>
      <c r="AA48" s="27">
        <v>0</v>
      </c>
      <c r="AB48" s="109">
        <v>0</v>
      </c>
      <c r="AC48" s="27">
        <v>0</v>
      </c>
      <c r="AD48" s="109">
        <v>0</v>
      </c>
      <c r="AE48" s="27">
        <v>0</v>
      </c>
      <c r="AF48" s="115"/>
      <c r="AG48" s="104">
        <f t="shared" si="1"/>
        <v>0</v>
      </c>
      <c r="AH48" s="214" t="str">
        <f t="shared" si="2"/>
        <v>OK</v>
      </c>
      <c r="AI48" t="s">
        <v>39</v>
      </c>
      <c r="AJ48" s="289">
        <v>1610404.72</v>
      </c>
      <c r="AL48" s="288">
        <v>0</v>
      </c>
      <c r="AN48" s="288">
        <v>0</v>
      </c>
    </row>
    <row r="49" spans="1:40" x14ac:dyDescent="0.25">
      <c r="A49" s="17" t="s">
        <v>40</v>
      </c>
      <c r="B49" s="36">
        <v>57540574</v>
      </c>
      <c r="C49" s="36">
        <v>60846418.109999999</v>
      </c>
      <c r="D49" s="36">
        <v>63442903.780000001</v>
      </c>
      <c r="E49" s="109">
        <v>69580624.709999993</v>
      </c>
      <c r="F49" s="109">
        <v>66533874.679999985</v>
      </c>
      <c r="G49" s="115">
        <v>57739974.999999993</v>
      </c>
      <c r="H49" s="38"/>
      <c r="I49" s="36">
        <v>1939305</v>
      </c>
      <c r="J49" s="27">
        <v>3.3703261284810958E-2</v>
      </c>
      <c r="K49" s="36">
        <v>1568683.0000000002</v>
      </c>
      <c r="L49" s="27">
        <v>2.5781024565227285E-2</v>
      </c>
      <c r="M49" s="36">
        <v>3036248.6999999997</v>
      </c>
      <c r="N49" s="27">
        <v>4.7857971799789518E-2</v>
      </c>
      <c r="O49" s="109">
        <v>2453341.2600000002</v>
      </c>
      <c r="P49" s="27">
        <v>3.5258971448231487E-2</v>
      </c>
      <c r="Q49" s="109">
        <v>1539294.1700000004</v>
      </c>
      <c r="R49" s="27">
        <v>2.3135495676501021E-2</v>
      </c>
      <c r="S49" s="115">
        <v>1205157.4599999986</v>
      </c>
      <c r="T49" s="104">
        <f t="shared" si="3"/>
        <v>2.0872150706681095E-2</v>
      </c>
      <c r="U49" s="38"/>
      <c r="V49" s="36">
        <v>396599</v>
      </c>
      <c r="W49" s="27">
        <v>6.8925103180235911E-3</v>
      </c>
      <c r="X49" s="36">
        <v>425159.54</v>
      </c>
      <c r="Y49" s="27">
        <v>6.9874210053151144E-3</v>
      </c>
      <c r="Z49" s="36">
        <v>1076037.7000000002</v>
      </c>
      <c r="AA49" s="27">
        <v>1.6960725879309684E-2</v>
      </c>
      <c r="AB49" s="109">
        <v>436403.83000000007</v>
      </c>
      <c r="AC49" s="27">
        <v>7.1722189005613444E-3</v>
      </c>
      <c r="AD49" s="109">
        <v>247617.46000000002</v>
      </c>
      <c r="AE49" s="27">
        <v>3.7216750293130544E-3</v>
      </c>
      <c r="AF49" s="115">
        <v>443403.05999999994</v>
      </c>
      <c r="AG49" s="104">
        <f t="shared" si="1"/>
        <v>7.6793081396380929E-3</v>
      </c>
      <c r="AH49" s="214" t="str">
        <f t="shared" si="2"/>
        <v>OK</v>
      </c>
      <c r="AI49" t="s">
        <v>40</v>
      </c>
      <c r="AJ49" s="289">
        <v>57739974.999999993</v>
      </c>
      <c r="AK49" s="289">
        <v>1205157.4599999986</v>
      </c>
      <c r="AL49" s="288">
        <v>2.0872150706681095E-2</v>
      </c>
      <c r="AM49" s="289">
        <v>443403.05999999994</v>
      </c>
      <c r="AN49" s="288">
        <v>7.6793081396380929E-3</v>
      </c>
    </row>
    <row r="50" spans="1:40" x14ac:dyDescent="0.25">
      <c r="A50" s="17" t="s">
        <v>41</v>
      </c>
      <c r="B50" s="36">
        <v>62537685</v>
      </c>
      <c r="C50" s="36">
        <v>65149085.729999997</v>
      </c>
      <c r="D50" s="36">
        <v>68121723.159999996</v>
      </c>
      <c r="E50" s="109">
        <v>71782569.750000045</v>
      </c>
      <c r="F50" s="109">
        <v>76130350.800000012</v>
      </c>
      <c r="G50" s="115">
        <v>79474313.180000007</v>
      </c>
      <c r="H50" s="38"/>
      <c r="I50" s="36">
        <v>660477</v>
      </c>
      <c r="J50" s="27">
        <v>1.0561263980270456E-2</v>
      </c>
      <c r="K50" s="36">
        <v>1500395.4500000007</v>
      </c>
      <c r="L50" s="27">
        <v>2.303018427945636E-2</v>
      </c>
      <c r="M50" s="36">
        <v>1081289.8999999999</v>
      </c>
      <c r="N50" s="27">
        <v>1.5872908814422302E-2</v>
      </c>
      <c r="O50" s="109">
        <v>669566.15000000014</v>
      </c>
      <c r="P50" s="27">
        <v>9.3276982466903077E-3</v>
      </c>
      <c r="Q50" s="109">
        <v>794533.62</v>
      </c>
      <c r="R50" s="27">
        <v>1.0436489673971131E-2</v>
      </c>
      <c r="S50" s="115">
        <v>675097.70000000007</v>
      </c>
      <c r="T50" s="104">
        <f t="shared" si="3"/>
        <v>8.4945395938305617E-3</v>
      </c>
      <c r="U50" s="38"/>
      <c r="V50" s="36">
        <v>94512</v>
      </c>
      <c r="W50" s="27">
        <v>1.5112807581540634E-3</v>
      </c>
      <c r="X50" s="36">
        <v>755782.57999999984</v>
      </c>
      <c r="Y50" s="27">
        <v>1.160081636651388E-2</v>
      </c>
      <c r="Z50" s="36">
        <v>217192.47999999995</v>
      </c>
      <c r="AA50" s="27">
        <v>3.1882998539228373E-3</v>
      </c>
      <c r="AB50" s="109">
        <v>82073.789999999994</v>
      </c>
      <c r="AC50" s="27">
        <v>1.2597842176963424E-3</v>
      </c>
      <c r="AD50" s="109">
        <v>207642.96</v>
      </c>
      <c r="AE50" s="27">
        <v>2.7274662183744982E-3</v>
      </c>
      <c r="AF50" s="115">
        <v>167258.51999999999</v>
      </c>
      <c r="AG50" s="104">
        <f t="shared" si="1"/>
        <v>2.1045607480894997E-3</v>
      </c>
      <c r="AH50" s="214" t="str">
        <f t="shared" si="2"/>
        <v>OK</v>
      </c>
      <c r="AI50" t="s">
        <v>41</v>
      </c>
      <c r="AJ50" s="289">
        <v>79474313.180000007</v>
      </c>
      <c r="AK50" s="289">
        <v>675097.70000000007</v>
      </c>
      <c r="AL50" s="288">
        <v>8.4945395938305617E-3</v>
      </c>
      <c r="AM50" s="289">
        <v>167258.51999999999</v>
      </c>
      <c r="AN50" s="288">
        <v>2.1045607480894997E-3</v>
      </c>
    </row>
    <row r="51" spans="1:40" x14ac:dyDescent="0.25">
      <c r="A51" s="17" t="s">
        <v>42</v>
      </c>
      <c r="B51" s="36">
        <v>30405421</v>
      </c>
      <c r="C51" s="36">
        <v>31422262.539999999</v>
      </c>
      <c r="D51" s="36">
        <v>34555327.399999991</v>
      </c>
      <c r="E51" s="109">
        <v>34210535.159999996</v>
      </c>
      <c r="F51" s="109">
        <v>33646832.749999993</v>
      </c>
      <c r="G51" s="115">
        <v>25911628.609999996</v>
      </c>
      <c r="H51" s="38"/>
      <c r="I51" s="36">
        <v>2614728</v>
      </c>
      <c r="J51" s="27">
        <v>8.5995454560553533E-2</v>
      </c>
      <c r="K51" s="36">
        <v>3363064.8</v>
      </c>
      <c r="L51" s="27">
        <v>0.10702809180971218</v>
      </c>
      <c r="M51" s="36">
        <v>3226189.7199999993</v>
      </c>
      <c r="N51" s="27">
        <v>9.3363019908762321E-2</v>
      </c>
      <c r="O51" s="109">
        <v>2748685.43</v>
      </c>
      <c r="P51" s="27">
        <v>8.0346168720968947E-2</v>
      </c>
      <c r="Q51" s="109">
        <v>2441837.4000000004</v>
      </c>
      <c r="R51" s="27">
        <v>7.2572578172309568E-2</v>
      </c>
      <c r="S51" s="115">
        <v>5056106.2799999965</v>
      </c>
      <c r="T51" s="104">
        <f t="shared" si="3"/>
        <v>0.19512884952544854</v>
      </c>
      <c r="U51" s="38"/>
      <c r="V51" s="36">
        <v>383250</v>
      </c>
      <c r="W51" s="27">
        <v>1.26046602018765E-2</v>
      </c>
      <c r="X51" s="36">
        <v>590183.21</v>
      </c>
      <c r="Y51" s="27">
        <v>1.8782326996622439E-2</v>
      </c>
      <c r="Z51" s="36">
        <v>346426.18000000005</v>
      </c>
      <c r="AA51" s="27">
        <v>1.0025261112125945E-2</v>
      </c>
      <c r="AB51" s="109">
        <v>442152.27</v>
      </c>
      <c r="AC51" s="27">
        <v>1.4071305955042156E-2</v>
      </c>
      <c r="AD51" s="109">
        <v>343449.23000000016</v>
      </c>
      <c r="AE51" s="27">
        <v>1.020747576902317E-2</v>
      </c>
      <c r="AF51" s="115">
        <v>1262334.74</v>
      </c>
      <c r="AG51" s="104">
        <f t="shared" si="1"/>
        <v>4.8716920074750952E-2</v>
      </c>
      <c r="AH51" s="214" t="str">
        <f t="shared" si="2"/>
        <v>OK</v>
      </c>
      <c r="AI51" t="s">
        <v>42</v>
      </c>
      <c r="AJ51" s="289">
        <v>25911628.609999996</v>
      </c>
      <c r="AK51" s="289">
        <v>5056106.2799999965</v>
      </c>
      <c r="AL51" s="288">
        <v>0.19512884952544854</v>
      </c>
      <c r="AM51" s="289">
        <v>1262334.74</v>
      </c>
      <c r="AN51" s="288">
        <v>4.8716920074750952E-2</v>
      </c>
    </row>
    <row r="52" spans="1:40" x14ac:dyDescent="0.25">
      <c r="A52" s="17"/>
      <c r="B52" s="17"/>
      <c r="C52" s="17"/>
      <c r="D52" s="17"/>
      <c r="E52" s="17"/>
      <c r="F52" s="17"/>
      <c r="G52" s="116"/>
      <c r="H52" s="128"/>
      <c r="I52" s="17"/>
      <c r="J52" s="35"/>
      <c r="K52" s="17"/>
      <c r="L52" s="35"/>
      <c r="M52" s="17"/>
      <c r="N52" s="35"/>
      <c r="O52" s="17"/>
      <c r="P52" s="35"/>
      <c r="Q52" s="17"/>
      <c r="R52" s="35"/>
      <c r="S52" s="116"/>
      <c r="T52" s="104"/>
      <c r="U52" s="128"/>
      <c r="V52" s="17"/>
      <c r="W52" s="35"/>
      <c r="X52" s="17"/>
      <c r="Y52" s="35"/>
      <c r="Z52" s="17"/>
      <c r="AA52" s="35"/>
      <c r="AB52" s="17"/>
      <c r="AC52" s="35"/>
      <c r="AD52" s="17"/>
      <c r="AE52" s="35"/>
      <c r="AF52" s="116"/>
      <c r="AG52" s="104"/>
    </row>
    <row r="53" spans="1:40" ht="15.75" thickBot="1" x14ac:dyDescent="0.3">
      <c r="A53" s="26" t="s">
        <v>129</v>
      </c>
      <c r="B53" s="37">
        <v>3236171455</v>
      </c>
      <c r="C53" s="37">
        <v>3378090219.6599998</v>
      </c>
      <c r="D53" s="37">
        <v>3544265071.2599998</v>
      </c>
      <c r="E53" s="37">
        <v>3739857008.1500006</v>
      </c>
      <c r="F53" s="37">
        <v>3981385209.5100002</v>
      </c>
      <c r="G53" s="114">
        <f>SUM(G6:G52)</f>
        <v>4192488856.8700013</v>
      </c>
      <c r="H53" s="129"/>
      <c r="I53" s="37">
        <v>158922956</v>
      </c>
      <c r="J53" s="28">
        <v>4.9108323897504989E-2</v>
      </c>
      <c r="K53" s="37">
        <v>167493153.02000007</v>
      </c>
      <c r="L53" s="28">
        <v>4.9582202406914411E-2</v>
      </c>
      <c r="M53" s="37">
        <v>157958213.48999995</v>
      </c>
      <c r="N53" s="28">
        <v>4.4567268619625337E-2</v>
      </c>
      <c r="O53" s="37">
        <v>170059994.21000001</v>
      </c>
      <c r="P53" s="28">
        <v>4.5472325235804613E-2</v>
      </c>
      <c r="Q53" s="37">
        <v>171502791.63999993</v>
      </c>
      <c r="R53" s="28">
        <v>4.3076161339612562E-2</v>
      </c>
      <c r="S53" s="114">
        <f>SUM(S6:S52)</f>
        <v>189170412.30999985</v>
      </c>
      <c r="T53" s="105">
        <f>S53/G53</f>
        <v>4.5121267764377401E-2</v>
      </c>
      <c r="U53" s="129"/>
      <c r="V53" s="37">
        <v>40594057</v>
      </c>
      <c r="W53" s="28">
        <v>1.2543852377561992E-2</v>
      </c>
      <c r="X53" s="37">
        <v>49093034.399999991</v>
      </c>
      <c r="Y53" s="28">
        <v>1.453277775539729E-2</v>
      </c>
      <c r="Z53" s="37">
        <v>39608345.769999988</v>
      </c>
      <c r="AA53" s="28">
        <v>1.117533394755914E-2</v>
      </c>
      <c r="AB53" s="37">
        <v>44826590.520000011</v>
      </c>
      <c r="AC53" s="28">
        <v>1.3269802641479405E-2</v>
      </c>
      <c r="AD53" s="37">
        <v>38884181.689999998</v>
      </c>
      <c r="AE53" s="28">
        <v>9.7664957405077558E-3</v>
      </c>
      <c r="AF53" s="114">
        <f>SUM(AF6:AF52)</f>
        <v>49496719.030000016</v>
      </c>
      <c r="AG53" s="105">
        <f>AF53/G53</f>
        <v>1.1806046651475879E-2</v>
      </c>
    </row>
    <row r="54" spans="1:40" ht="15.75" thickTop="1" x14ac:dyDescent="0.25"/>
  </sheetData>
  <sortState ref="AI6:AN61">
    <sortCondition ref="AI6"/>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G54"/>
  <sheetViews>
    <sheetView workbookViewId="0">
      <pane xSplit="1" ySplit="5" topLeftCell="R6" activePane="bottomRight" state="frozen"/>
      <selection activeCell="C8" sqref="C8"/>
      <selection pane="topRight" activeCell="C8" sqref="C8"/>
      <selection pane="bottomLeft" activeCell="C8" sqref="C8"/>
      <selection pane="bottomRight" activeCell="C8" sqref="C8"/>
    </sheetView>
  </sheetViews>
  <sheetFormatPr defaultRowHeight="15" x14ac:dyDescent="0.25"/>
  <cols>
    <col min="1" max="1" width="49.28515625" bestFit="1" customWidth="1"/>
    <col min="2" max="2" width="12.28515625" customWidth="1"/>
    <col min="3" max="5" width="12.5703125" bestFit="1" customWidth="1"/>
    <col min="6" max="6" width="12.5703125" customWidth="1"/>
    <col min="7" max="7" width="2.7109375" style="5" customWidth="1"/>
    <col min="8" max="8" width="11.7109375" customWidth="1"/>
    <col min="9" max="9" width="7.7109375" bestFit="1" customWidth="1"/>
    <col min="10" max="10" width="11.5703125" bestFit="1" customWidth="1"/>
    <col min="11" max="11" width="7.7109375" bestFit="1" customWidth="1"/>
    <col min="12" max="12" width="12.5703125" bestFit="1" customWidth="1"/>
    <col min="13" max="13" width="11.42578125" customWidth="1"/>
    <col min="14" max="14" width="12.5703125" bestFit="1" customWidth="1"/>
    <col min="15" max="15" width="11.42578125" customWidth="1"/>
    <col min="16" max="16" width="12.5703125" customWidth="1"/>
    <col min="17" max="17" width="11.42578125" customWidth="1"/>
    <col min="18" max="18" width="2.7109375" style="5" customWidth="1"/>
    <col min="19" max="19" width="12" customWidth="1"/>
    <col min="20" max="20" width="6.140625" bestFit="1" customWidth="1"/>
    <col min="21" max="21" width="10.5703125" bestFit="1" customWidth="1"/>
    <col min="22" max="22" width="5.140625" bestFit="1" customWidth="1"/>
    <col min="23" max="23" width="12.5703125" bestFit="1" customWidth="1"/>
    <col min="24" max="24" width="7.7109375" bestFit="1" customWidth="1"/>
    <col min="25" max="25" width="12.5703125" bestFit="1" customWidth="1"/>
    <col min="26" max="26" width="7.7109375" bestFit="1" customWidth="1"/>
    <col min="27" max="27" width="12.5703125" customWidth="1"/>
    <col min="28" max="28" width="11.42578125" customWidth="1"/>
    <col min="30" max="30" width="48.7109375" bestFit="1" customWidth="1"/>
  </cols>
  <sheetData>
    <row r="1" spans="1:33" x14ac:dyDescent="0.25">
      <c r="A1" s="30">
        <v>1</v>
      </c>
      <c r="B1" s="30">
        <v>2</v>
      </c>
      <c r="C1" s="30">
        <v>3</v>
      </c>
      <c r="D1" s="30">
        <v>4</v>
      </c>
      <c r="E1" s="30">
        <v>5</v>
      </c>
      <c r="F1" s="30">
        <v>6</v>
      </c>
      <c r="G1" s="30">
        <v>7</v>
      </c>
      <c r="H1" s="30">
        <v>8</v>
      </c>
      <c r="I1" s="30">
        <v>9</v>
      </c>
      <c r="J1" s="30">
        <v>10</v>
      </c>
      <c r="K1" s="30">
        <v>11</v>
      </c>
      <c r="L1" s="30">
        <v>12</v>
      </c>
      <c r="M1" s="30">
        <v>13</v>
      </c>
      <c r="N1" s="30">
        <v>14</v>
      </c>
      <c r="O1" s="30">
        <v>15</v>
      </c>
      <c r="P1" s="30">
        <v>16</v>
      </c>
      <c r="Q1" s="30">
        <v>17</v>
      </c>
      <c r="R1" s="30">
        <v>18</v>
      </c>
      <c r="S1" s="30">
        <v>19</v>
      </c>
      <c r="T1" s="30">
        <v>20</v>
      </c>
      <c r="U1" s="30">
        <v>21</v>
      </c>
      <c r="V1" s="30">
        <v>22</v>
      </c>
      <c r="W1" s="30">
        <v>23</v>
      </c>
      <c r="X1" s="30">
        <v>24</v>
      </c>
      <c r="Y1" s="30">
        <v>25</v>
      </c>
      <c r="Z1" s="30">
        <v>26</v>
      </c>
      <c r="AA1" s="30">
        <v>27</v>
      </c>
      <c r="AB1" s="30">
        <v>28</v>
      </c>
    </row>
    <row r="2" spans="1:33" x14ac:dyDescent="0.25">
      <c r="B2" s="77" t="s">
        <v>141</v>
      </c>
      <c r="C2" s="77"/>
      <c r="D2" s="77"/>
      <c r="E2" s="77"/>
      <c r="F2" s="77"/>
      <c r="G2" s="39"/>
      <c r="H2" s="77"/>
      <c r="I2" s="77"/>
      <c r="J2" s="77"/>
      <c r="K2" s="77"/>
      <c r="L2" s="77"/>
      <c r="M2" s="77"/>
      <c r="N2" s="77"/>
      <c r="O2" s="77"/>
      <c r="P2" s="77"/>
      <c r="Q2" s="77"/>
      <c r="R2" s="39"/>
      <c r="S2" s="77"/>
      <c r="T2" s="77"/>
      <c r="U2" s="77"/>
      <c r="V2" s="77"/>
      <c r="W2" s="77"/>
      <c r="X2" s="77"/>
      <c r="Y2" s="77"/>
      <c r="Z2" s="77"/>
      <c r="AA2" s="77"/>
      <c r="AB2" s="77"/>
    </row>
    <row r="3" spans="1:33" x14ac:dyDescent="0.25">
      <c r="B3" s="77" t="s">
        <v>138</v>
      </c>
      <c r="C3" s="77"/>
      <c r="D3" s="77"/>
      <c r="E3" s="77"/>
      <c r="F3" s="77"/>
      <c r="G3" s="39"/>
      <c r="H3" s="77" t="s">
        <v>142</v>
      </c>
      <c r="I3" s="77"/>
      <c r="J3" s="77"/>
      <c r="K3" s="77"/>
      <c r="L3" s="77"/>
      <c r="M3" s="77"/>
      <c r="N3" s="77"/>
      <c r="O3" s="77"/>
      <c r="P3" s="77"/>
      <c r="Q3" s="77"/>
      <c r="R3" s="39"/>
      <c r="S3" s="77" t="s">
        <v>143</v>
      </c>
      <c r="T3" s="77"/>
      <c r="U3" s="77"/>
      <c r="V3" s="77"/>
      <c r="W3" s="77"/>
      <c r="X3" s="77"/>
      <c r="Y3" s="77"/>
      <c r="Z3" s="77"/>
      <c r="AA3" s="77"/>
      <c r="AB3" s="77"/>
    </row>
    <row r="4" spans="1:33" ht="26.25" customHeight="1" x14ac:dyDescent="0.25">
      <c r="B4" s="16">
        <v>2015</v>
      </c>
      <c r="C4" s="16">
        <v>2016</v>
      </c>
      <c r="D4" s="16">
        <v>2017</v>
      </c>
      <c r="E4" s="16">
        <v>2018</v>
      </c>
      <c r="F4" s="16">
        <v>2019</v>
      </c>
      <c r="G4" s="39"/>
      <c r="H4" s="16">
        <v>2015</v>
      </c>
      <c r="I4" s="16">
        <v>2015</v>
      </c>
      <c r="J4" s="16">
        <v>2016</v>
      </c>
      <c r="K4" s="16">
        <v>2016</v>
      </c>
      <c r="L4" s="16">
        <v>2017</v>
      </c>
      <c r="M4" s="16">
        <v>2017</v>
      </c>
      <c r="N4" s="16">
        <v>2018</v>
      </c>
      <c r="O4" s="16">
        <v>2018</v>
      </c>
      <c r="P4" s="16">
        <v>2019</v>
      </c>
      <c r="Q4" s="16">
        <v>2019</v>
      </c>
      <c r="R4" s="39"/>
      <c r="S4" s="16">
        <v>2015</v>
      </c>
      <c r="T4" s="16">
        <v>2015</v>
      </c>
      <c r="U4" s="16">
        <v>2016</v>
      </c>
      <c r="V4" s="16">
        <v>2016</v>
      </c>
      <c r="W4" s="16">
        <v>2017</v>
      </c>
      <c r="X4" s="16">
        <v>2017</v>
      </c>
      <c r="Y4" s="16">
        <v>2018</v>
      </c>
      <c r="Z4" s="16">
        <v>2018</v>
      </c>
      <c r="AA4" s="16">
        <v>2019</v>
      </c>
      <c r="AB4" s="16">
        <v>2019</v>
      </c>
      <c r="AE4" s="44"/>
      <c r="AF4" s="44"/>
    </row>
    <row r="5" spans="1:33" ht="45" x14ac:dyDescent="0.25">
      <c r="A5" s="41" t="s">
        <v>45</v>
      </c>
      <c r="B5" s="42" t="s">
        <v>50</v>
      </c>
      <c r="C5" s="42" t="s">
        <v>50</v>
      </c>
      <c r="D5" s="42" t="s">
        <v>50</v>
      </c>
      <c r="E5" s="42" t="s">
        <v>50</v>
      </c>
      <c r="F5" s="42" t="s">
        <v>50</v>
      </c>
      <c r="G5" s="124"/>
      <c r="H5" s="42" t="s">
        <v>50</v>
      </c>
      <c r="I5" s="42" t="s">
        <v>52</v>
      </c>
      <c r="J5" s="42" t="s">
        <v>50</v>
      </c>
      <c r="K5" s="42" t="s">
        <v>52</v>
      </c>
      <c r="L5" s="42" t="s">
        <v>50</v>
      </c>
      <c r="M5" s="42" t="s">
        <v>52</v>
      </c>
      <c r="N5" s="42" t="s">
        <v>50</v>
      </c>
      <c r="O5" s="42" t="s">
        <v>52</v>
      </c>
      <c r="P5" s="42" t="s">
        <v>50</v>
      </c>
      <c r="Q5" s="42" t="s">
        <v>52</v>
      </c>
      <c r="R5" s="124"/>
      <c r="S5" s="42" t="s">
        <v>50</v>
      </c>
      <c r="T5" s="42" t="s">
        <v>52</v>
      </c>
      <c r="U5" s="42" t="s">
        <v>50</v>
      </c>
      <c r="V5" s="42" t="s">
        <v>52</v>
      </c>
      <c r="W5" s="42" t="s">
        <v>50</v>
      </c>
      <c r="X5" s="42" t="s">
        <v>52</v>
      </c>
      <c r="Y5" s="42" t="s">
        <v>50</v>
      </c>
      <c r="Z5" s="42" t="s">
        <v>52</v>
      </c>
      <c r="AA5" s="42" t="s">
        <v>50</v>
      </c>
      <c r="AB5" s="42" t="s">
        <v>52</v>
      </c>
      <c r="AD5" t="s">
        <v>382</v>
      </c>
      <c r="AE5" s="42" t="s">
        <v>332</v>
      </c>
      <c r="AF5" s="42" t="s">
        <v>333</v>
      </c>
      <c r="AG5" s="42" t="s">
        <v>385</v>
      </c>
    </row>
    <row r="6" spans="1:33" x14ac:dyDescent="0.25">
      <c r="A6" s="17" t="s">
        <v>0</v>
      </c>
      <c r="B6" s="36">
        <v>414783</v>
      </c>
      <c r="C6" s="36">
        <v>483577</v>
      </c>
      <c r="D6" s="36">
        <v>608652.68999999994</v>
      </c>
      <c r="E6" s="36">
        <v>669700.35000000021</v>
      </c>
      <c r="F6" s="115">
        <v>667485.87999999966</v>
      </c>
      <c r="G6" s="38"/>
      <c r="H6" s="36">
        <v>20174.349999999999</v>
      </c>
      <c r="I6" s="27">
        <v>4.8638324135752906E-2</v>
      </c>
      <c r="J6" s="36">
        <v>65334.700000000012</v>
      </c>
      <c r="K6" s="27">
        <v>0.13510712875095385</v>
      </c>
      <c r="L6" s="36">
        <v>93048.05</v>
      </c>
      <c r="M6" s="27">
        <v>0.1528754436294367</v>
      </c>
      <c r="N6" s="36">
        <v>46277</v>
      </c>
      <c r="O6" s="27">
        <v>6.9101053926580724E-2</v>
      </c>
      <c r="P6" s="115">
        <v>87621.869999999981</v>
      </c>
      <c r="Q6" s="104">
        <f>P6/F6</f>
        <v>0.13127149596033405</v>
      </c>
      <c r="R6" s="38"/>
      <c r="S6" s="36">
        <v>1246.1099999999999</v>
      </c>
      <c r="T6" s="27">
        <v>3.0042455934789995E-3</v>
      </c>
      <c r="U6" s="36">
        <v>2213.35</v>
      </c>
      <c r="V6" s="27">
        <v>4.5770373694365117E-3</v>
      </c>
      <c r="W6" s="36">
        <v>33079.880000000005</v>
      </c>
      <c r="X6" s="27">
        <v>5.4349353159024089E-2</v>
      </c>
      <c r="Y6" s="36">
        <v>2021.77</v>
      </c>
      <c r="Z6" s="27">
        <v>3.0189173411660892E-3</v>
      </c>
      <c r="AA6" s="115">
        <v>586.70000000000005</v>
      </c>
      <c r="AB6" s="104">
        <f>AA6/F6</f>
        <v>8.7896990420231866E-4</v>
      </c>
      <c r="AC6" s="214" t="str">
        <f>IF(AD6=A6,"OK","No")</f>
        <v>No</v>
      </c>
      <c r="AD6" t="s">
        <v>383</v>
      </c>
      <c r="AE6">
        <v>667485.87999999966</v>
      </c>
      <c r="AF6">
        <v>87621.869999999981</v>
      </c>
      <c r="AG6">
        <v>586.70000000000005</v>
      </c>
    </row>
    <row r="7" spans="1:33" x14ac:dyDescent="0.25">
      <c r="A7" s="17" t="s">
        <v>26</v>
      </c>
      <c r="B7" s="36"/>
      <c r="C7" s="36">
        <v>0</v>
      </c>
      <c r="D7" s="36">
        <v>0</v>
      </c>
      <c r="E7" s="36">
        <v>0</v>
      </c>
      <c r="F7" s="115">
        <v>0</v>
      </c>
      <c r="G7" s="38"/>
      <c r="H7" s="36"/>
      <c r="I7" s="27"/>
      <c r="J7" s="36"/>
      <c r="K7" s="27"/>
      <c r="L7" s="36"/>
      <c r="M7" s="27"/>
      <c r="N7" s="36"/>
      <c r="O7" s="27"/>
      <c r="P7" s="115"/>
      <c r="Q7" s="104"/>
      <c r="R7" s="38"/>
      <c r="S7" s="36"/>
      <c r="T7" s="27"/>
      <c r="U7" s="36"/>
      <c r="V7" s="27"/>
      <c r="W7" s="36"/>
      <c r="X7" s="27"/>
      <c r="Y7" s="36"/>
      <c r="Z7" s="27"/>
      <c r="AA7" s="115"/>
      <c r="AB7" s="104"/>
      <c r="AC7" s="214" t="str">
        <f t="shared" ref="AC7:AC51" si="0">IF(AD7=A7,"OK","No")</f>
        <v>OK</v>
      </c>
      <c r="AD7" t="s">
        <v>26</v>
      </c>
      <c r="AE7">
        <v>0</v>
      </c>
    </row>
    <row r="8" spans="1:33" x14ac:dyDescent="0.25">
      <c r="A8" s="17" t="s">
        <v>1</v>
      </c>
      <c r="B8" s="36">
        <v>62350328</v>
      </c>
      <c r="C8" s="36">
        <v>67323497</v>
      </c>
      <c r="D8" s="36">
        <v>70729647.670005664</v>
      </c>
      <c r="E8" s="36">
        <v>73545707.210004836</v>
      </c>
      <c r="F8" s="115">
        <v>80211292.900004625</v>
      </c>
      <c r="G8" s="38"/>
      <c r="H8" s="36">
        <v>6552597.9100000001</v>
      </c>
      <c r="I8" s="27">
        <v>0.10509323880381191</v>
      </c>
      <c r="J8" s="36">
        <v>7782362.9199999571</v>
      </c>
      <c r="K8" s="27">
        <v>0.11559653414913901</v>
      </c>
      <c r="L8" s="36">
        <v>7885342.1799999764</v>
      </c>
      <c r="M8" s="27">
        <v>0.11148567029189253</v>
      </c>
      <c r="N8" s="36">
        <v>7530504.1199999759</v>
      </c>
      <c r="O8" s="27">
        <v>0.10239216407963997</v>
      </c>
      <c r="P8" s="115">
        <v>8368499.0799999619</v>
      </c>
      <c r="Q8" s="104">
        <f t="shared" ref="Q8:Q51" si="1">P8/F8</f>
        <v>0.10433068433933047</v>
      </c>
      <c r="R8" s="38"/>
      <c r="S8" s="36">
        <v>684460.4</v>
      </c>
      <c r="T8" s="27">
        <v>1.0977655161653681E-2</v>
      </c>
      <c r="U8" s="36">
        <v>976389.4700000002</v>
      </c>
      <c r="V8" s="27">
        <v>1.4502952364461998E-2</v>
      </c>
      <c r="W8" s="36">
        <v>880855.03000000026</v>
      </c>
      <c r="X8" s="27">
        <v>1.245383031044766E-2</v>
      </c>
      <c r="Y8" s="36">
        <v>653687.26000000024</v>
      </c>
      <c r="Z8" s="27">
        <v>8.8881769555011567E-3</v>
      </c>
      <c r="AA8" s="115">
        <v>956741.22000000009</v>
      </c>
      <c r="AB8" s="104">
        <f t="shared" ref="AB8:AB51" si="2">AA8/F8</f>
        <v>1.1927762106923288E-2</v>
      </c>
      <c r="AC8" s="214" t="str">
        <f t="shared" si="0"/>
        <v>OK</v>
      </c>
      <c r="AD8" t="s">
        <v>1</v>
      </c>
      <c r="AE8">
        <v>80211292.900004625</v>
      </c>
      <c r="AF8">
        <v>8368499.0799999619</v>
      </c>
      <c r="AG8">
        <v>956741.22000000009</v>
      </c>
    </row>
    <row r="9" spans="1:33" x14ac:dyDescent="0.25">
      <c r="A9" s="17" t="s">
        <v>2</v>
      </c>
      <c r="B9" s="36">
        <v>29549545</v>
      </c>
      <c r="C9" s="36">
        <v>29210982</v>
      </c>
      <c r="D9" s="36">
        <v>31857787.619999893</v>
      </c>
      <c r="E9" s="36">
        <v>32153352.309999797</v>
      </c>
      <c r="F9" s="115">
        <v>33996386.440001108</v>
      </c>
      <c r="G9" s="38"/>
      <c r="H9" s="36">
        <v>1795508.42</v>
      </c>
      <c r="I9" s="27">
        <v>6.0762641861321381E-2</v>
      </c>
      <c r="J9" s="36">
        <v>2246623.8100000024</v>
      </c>
      <c r="K9" s="27">
        <v>7.6910245947911043E-2</v>
      </c>
      <c r="L9" s="36">
        <v>2432365.9399999892</v>
      </c>
      <c r="M9" s="27">
        <v>7.6350748803190038E-2</v>
      </c>
      <c r="N9" s="36">
        <v>1890010.6400000001</v>
      </c>
      <c r="O9" s="27">
        <v>5.8781138021872785E-2</v>
      </c>
      <c r="P9" s="115">
        <v>2853546.3900000025</v>
      </c>
      <c r="Q9" s="104">
        <f t="shared" si="1"/>
        <v>8.3936755897163207E-2</v>
      </c>
      <c r="R9" s="38"/>
      <c r="S9" s="36">
        <v>179527.14</v>
      </c>
      <c r="T9" s="27">
        <v>6.0754620756427891E-3</v>
      </c>
      <c r="U9" s="36">
        <v>192924.58000000002</v>
      </c>
      <c r="V9" s="27">
        <v>6.604522230714463E-3</v>
      </c>
      <c r="W9" s="36">
        <v>95873.479999999981</v>
      </c>
      <c r="X9" s="27">
        <v>3.0094205267352557E-3</v>
      </c>
      <c r="Y9" s="36">
        <v>192114.79999999996</v>
      </c>
      <c r="Z9" s="27">
        <v>5.9749539689599217E-3</v>
      </c>
      <c r="AA9" s="115">
        <v>299023.50000000006</v>
      </c>
      <c r="AB9" s="104">
        <f t="shared" si="2"/>
        <v>8.7957436455117048E-3</v>
      </c>
      <c r="AC9" s="214" t="str">
        <f t="shared" si="0"/>
        <v>OK</v>
      </c>
      <c r="AD9" t="s">
        <v>2</v>
      </c>
      <c r="AE9">
        <v>33996386.440001108</v>
      </c>
      <c r="AF9">
        <v>2853546.3900000025</v>
      </c>
      <c r="AG9">
        <v>299023.50000000006</v>
      </c>
    </row>
    <row r="10" spans="1:33" x14ac:dyDescent="0.25">
      <c r="A10" s="17" t="s">
        <v>3</v>
      </c>
      <c r="B10" s="36">
        <v>3845631</v>
      </c>
      <c r="C10" s="36">
        <v>5173720</v>
      </c>
      <c r="D10" s="36">
        <v>5855443.7900000056</v>
      </c>
      <c r="E10" s="36">
        <v>6034614.9599999785</v>
      </c>
      <c r="F10" s="115">
        <v>5840417.7499999823</v>
      </c>
      <c r="G10" s="38"/>
      <c r="H10" s="36">
        <v>382229.7</v>
      </c>
      <c r="I10" s="27">
        <v>9.9393233516164192E-2</v>
      </c>
      <c r="J10" s="36">
        <v>594000.14999999944</v>
      </c>
      <c r="K10" s="27">
        <v>0.11481103538653029</v>
      </c>
      <c r="L10" s="36">
        <v>953004.92999999993</v>
      </c>
      <c r="M10" s="27">
        <v>0.16275537161291731</v>
      </c>
      <c r="N10" s="36">
        <v>1109034.2600000002</v>
      </c>
      <c r="O10" s="27">
        <v>0.18377879406576161</v>
      </c>
      <c r="P10" s="115">
        <v>593031.63000000024</v>
      </c>
      <c r="Q10" s="104">
        <f t="shared" si="1"/>
        <v>0.10153924862652197</v>
      </c>
      <c r="R10" s="38"/>
      <c r="S10" s="36">
        <v>11811.310000000001</v>
      </c>
      <c r="T10" s="27">
        <v>3.0713581204228906E-3</v>
      </c>
      <c r="U10" s="36">
        <v>28509.040000000005</v>
      </c>
      <c r="V10" s="27">
        <v>5.5103561847181532E-3</v>
      </c>
      <c r="W10" s="36">
        <v>117389.23000000001</v>
      </c>
      <c r="X10" s="27">
        <v>2.0047879240251386E-2</v>
      </c>
      <c r="Y10" s="36">
        <v>46237.929999999993</v>
      </c>
      <c r="Z10" s="27">
        <v>7.6621176838099639E-3</v>
      </c>
      <c r="AA10" s="115">
        <v>41588.21</v>
      </c>
      <c r="AB10" s="104">
        <f t="shared" si="2"/>
        <v>7.1207594696458361E-3</v>
      </c>
      <c r="AC10" s="214" t="str">
        <f t="shared" si="0"/>
        <v>OK</v>
      </c>
      <c r="AD10" t="s">
        <v>3</v>
      </c>
      <c r="AE10">
        <v>5840417.7499999823</v>
      </c>
      <c r="AF10">
        <v>593031.63000000024</v>
      </c>
      <c r="AG10">
        <v>41588.21</v>
      </c>
    </row>
    <row r="11" spans="1:33" x14ac:dyDescent="0.25">
      <c r="A11" s="17" t="s">
        <v>33</v>
      </c>
      <c r="B11" s="36"/>
      <c r="C11" s="36">
        <v>0</v>
      </c>
      <c r="D11" s="36">
        <v>0</v>
      </c>
      <c r="E11" s="36">
        <v>0</v>
      </c>
      <c r="F11" s="115">
        <v>0</v>
      </c>
      <c r="G11" s="38"/>
      <c r="H11" s="36"/>
      <c r="I11" s="27"/>
      <c r="J11" s="36"/>
      <c r="K11" s="27"/>
      <c r="L11" s="36"/>
      <c r="M11" s="27"/>
      <c r="N11" s="36"/>
      <c r="O11" s="27"/>
      <c r="P11" s="115"/>
      <c r="Q11" s="104"/>
      <c r="R11" s="38"/>
      <c r="S11" s="36"/>
      <c r="T11" s="27"/>
      <c r="U11" s="36"/>
      <c r="V11" s="27"/>
      <c r="W11" s="36"/>
      <c r="X11" s="27"/>
      <c r="Y11" s="36"/>
      <c r="Z11" s="27"/>
      <c r="AA11" s="115">
        <v>0</v>
      </c>
      <c r="AB11" s="104"/>
      <c r="AC11" s="214" t="str">
        <f t="shared" si="0"/>
        <v>OK</v>
      </c>
      <c r="AD11" t="s">
        <v>33</v>
      </c>
      <c r="AE11">
        <v>0</v>
      </c>
      <c r="AG11">
        <v>0</v>
      </c>
    </row>
    <row r="12" spans="1:33" x14ac:dyDescent="0.25">
      <c r="A12" s="17" t="s">
        <v>23</v>
      </c>
      <c r="B12" s="36"/>
      <c r="C12" s="36">
        <v>0</v>
      </c>
      <c r="D12" s="36">
        <v>2.2737367544323206E-13</v>
      </c>
      <c r="E12" s="36">
        <v>0</v>
      </c>
      <c r="F12" s="115">
        <v>11335.179999999998</v>
      </c>
      <c r="G12" s="38"/>
      <c r="H12" s="36"/>
      <c r="I12" s="27"/>
      <c r="J12" s="36"/>
      <c r="K12" s="27"/>
      <c r="L12" s="36">
        <v>51.250000000000227</v>
      </c>
      <c r="M12" s="27">
        <v>0</v>
      </c>
      <c r="N12" s="36">
        <v>0</v>
      </c>
      <c r="O12" s="290">
        <v>0</v>
      </c>
      <c r="P12" s="115">
        <v>0</v>
      </c>
      <c r="Q12" s="104">
        <f t="shared" si="1"/>
        <v>0</v>
      </c>
      <c r="R12" s="38"/>
      <c r="S12" s="36"/>
      <c r="T12" s="27"/>
      <c r="U12" s="36"/>
      <c r="V12" s="27"/>
      <c r="W12" s="36">
        <v>0</v>
      </c>
      <c r="X12" s="27">
        <v>0</v>
      </c>
      <c r="Y12" s="36">
        <v>0</v>
      </c>
      <c r="Z12" s="290">
        <v>0</v>
      </c>
      <c r="AA12" s="115">
        <v>0</v>
      </c>
      <c r="AB12" s="104">
        <f t="shared" si="2"/>
        <v>0</v>
      </c>
      <c r="AC12" s="214" t="str">
        <f t="shared" si="0"/>
        <v>No</v>
      </c>
      <c r="AD12" t="s">
        <v>384</v>
      </c>
      <c r="AE12">
        <v>11335.179999999998</v>
      </c>
      <c r="AF12">
        <v>0</v>
      </c>
      <c r="AG12">
        <v>0</v>
      </c>
    </row>
    <row r="13" spans="1:33" x14ac:dyDescent="0.25">
      <c r="A13" s="17" t="s">
        <v>4</v>
      </c>
      <c r="B13" s="36">
        <v>5146049</v>
      </c>
      <c r="C13" s="36">
        <v>5184051</v>
      </c>
      <c r="D13" s="36">
        <v>5097201.3699999666</v>
      </c>
      <c r="E13" s="36">
        <v>4940543.8499999763</v>
      </c>
      <c r="F13" s="115">
        <v>4736784.8099999661</v>
      </c>
      <c r="G13" s="38"/>
      <c r="H13" s="36">
        <v>272925.19</v>
      </c>
      <c r="I13" s="27">
        <v>5.3035870820507154E-2</v>
      </c>
      <c r="J13" s="36">
        <v>385455.35999999999</v>
      </c>
      <c r="K13" s="27">
        <v>7.4354083322096948E-2</v>
      </c>
      <c r="L13" s="36">
        <v>218255.87</v>
      </c>
      <c r="M13" s="27">
        <v>4.2818765466980449E-2</v>
      </c>
      <c r="N13" s="36">
        <v>238187.3</v>
      </c>
      <c r="O13" s="27">
        <v>4.8210745057955744E-2</v>
      </c>
      <c r="P13" s="115">
        <v>192312.7099999999</v>
      </c>
      <c r="Q13" s="104">
        <f t="shared" si="1"/>
        <v>4.0599840971032267E-2</v>
      </c>
      <c r="R13" s="38"/>
      <c r="S13" s="36">
        <v>66801.009999999995</v>
      </c>
      <c r="T13" s="27">
        <v>1.2981028746519902E-2</v>
      </c>
      <c r="U13" s="36">
        <v>54769.790000000008</v>
      </c>
      <c r="V13" s="27">
        <v>1.0565056169393397E-2</v>
      </c>
      <c r="W13" s="36">
        <v>73761.58</v>
      </c>
      <c r="X13" s="27">
        <v>1.4470995875134611E-2</v>
      </c>
      <c r="Y13" s="36">
        <v>44194.890000000014</v>
      </c>
      <c r="Z13" s="27">
        <v>8.9453492048249348E-3</v>
      </c>
      <c r="AA13" s="115">
        <v>8183.9000000000005</v>
      </c>
      <c r="AB13" s="104">
        <f t="shared" si="2"/>
        <v>1.7277331203061469E-3</v>
      </c>
      <c r="AC13" s="214" t="str">
        <f t="shared" si="0"/>
        <v>OK</v>
      </c>
      <c r="AD13" t="s">
        <v>4</v>
      </c>
      <c r="AE13">
        <v>4736784.8099999661</v>
      </c>
      <c r="AF13">
        <v>192312.7099999999</v>
      </c>
      <c r="AG13">
        <v>8183.9000000000005</v>
      </c>
    </row>
    <row r="14" spans="1:33" x14ac:dyDescent="0.25">
      <c r="A14" s="17" t="s">
        <v>28</v>
      </c>
      <c r="B14" s="36">
        <v>35653</v>
      </c>
      <c r="C14" s="36">
        <v>19044</v>
      </c>
      <c r="D14" s="36">
        <v>21492.429999999989</v>
      </c>
      <c r="E14" s="36">
        <v>36487.49</v>
      </c>
      <c r="F14" s="115">
        <v>59612.480000000047</v>
      </c>
      <c r="G14" s="38"/>
      <c r="H14" s="36">
        <v>3247.28</v>
      </c>
      <c r="I14" s="27">
        <v>9.108013350910163E-2</v>
      </c>
      <c r="J14" s="36"/>
      <c r="K14" s="27">
        <v>0</v>
      </c>
      <c r="L14" s="36">
        <v>0</v>
      </c>
      <c r="M14" s="27">
        <v>0</v>
      </c>
      <c r="N14" s="36">
        <v>6552.65</v>
      </c>
      <c r="O14" s="27">
        <v>0.17958620886227034</v>
      </c>
      <c r="P14" s="115">
        <v>0</v>
      </c>
      <c r="Q14" s="104">
        <f t="shared" si="1"/>
        <v>0</v>
      </c>
      <c r="R14" s="38"/>
      <c r="S14" s="36">
        <v>38.26</v>
      </c>
      <c r="T14" s="27">
        <v>1.0731214764535943E-3</v>
      </c>
      <c r="U14" s="36">
        <v>0</v>
      </c>
      <c r="V14" s="27">
        <v>0</v>
      </c>
      <c r="W14" s="36">
        <v>0</v>
      </c>
      <c r="X14" s="27">
        <v>0</v>
      </c>
      <c r="Y14" s="36">
        <v>0</v>
      </c>
      <c r="Z14" s="27">
        <v>0</v>
      </c>
      <c r="AA14" s="115">
        <v>0</v>
      </c>
      <c r="AB14" s="104">
        <f t="shared" si="2"/>
        <v>0</v>
      </c>
      <c r="AC14" s="214" t="str">
        <f t="shared" si="0"/>
        <v>OK</v>
      </c>
      <c r="AD14" t="s">
        <v>28</v>
      </c>
      <c r="AE14">
        <v>59612.480000000047</v>
      </c>
      <c r="AF14">
        <v>0</v>
      </c>
      <c r="AG14">
        <v>0</v>
      </c>
    </row>
    <row r="15" spans="1:33" x14ac:dyDescent="0.25">
      <c r="A15" s="17" t="s">
        <v>29</v>
      </c>
      <c r="B15" s="36"/>
      <c r="C15" s="36">
        <v>0</v>
      </c>
      <c r="D15" s="36">
        <v>0</v>
      </c>
      <c r="E15" s="36">
        <v>0</v>
      </c>
      <c r="F15" s="115">
        <v>0</v>
      </c>
      <c r="G15" s="38"/>
      <c r="H15" s="36"/>
      <c r="I15" s="27"/>
      <c r="J15" s="36"/>
      <c r="K15" s="27"/>
      <c r="L15" s="36">
        <v>0</v>
      </c>
      <c r="M15" s="27"/>
      <c r="N15" s="36"/>
      <c r="O15" s="27"/>
      <c r="P15" s="115">
        <v>0</v>
      </c>
      <c r="Q15" s="104"/>
      <c r="R15" s="38"/>
      <c r="S15" s="36"/>
      <c r="T15" s="27"/>
      <c r="U15" s="36"/>
      <c r="V15" s="27"/>
      <c r="W15" s="36"/>
      <c r="X15" s="27"/>
      <c r="Y15" s="36"/>
      <c r="Z15" s="27"/>
      <c r="AA15" s="115">
        <v>0</v>
      </c>
      <c r="AB15" s="104"/>
      <c r="AC15" s="214" t="str">
        <f t="shared" si="0"/>
        <v>OK</v>
      </c>
      <c r="AD15" t="s">
        <v>29</v>
      </c>
      <c r="AE15">
        <v>0</v>
      </c>
      <c r="AF15">
        <v>0</v>
      </c>
      <c r="AG15">
        <v>0</v>
      </c>
    </row>
    <row r="16" spans="1:33" x14ac:dyDescent="0.25">
      <c r="A16" s="17" t="s">
        <v>5</v>
      </c>
      <c r="B16" s="36">
        <v>1006105</v>
      </c>
      <c r="C16" s="36">
        <v>1011045</v>
      </c>
      <c r="D16" s="36">
        <v>1130933.2800000003</v>
      </c>
      <c r="E16" s="36">
        <v>1314400.3500000008</v>
      </c>
      <c r="F16" s="115">
        <v>2369287.11</v>
      </c>
      <c r="G16" s="38"/>
      <c r="H16" s="36">
        <v>170900.99</v>
      </c>
      <c r="I16" s="27">
        <v>0.16986397046033963</v>
      </c>
      <c r="J16" s="36">
        <v>82012.3</v>
      </c>
      <c r="K16" s="27">
        <v>8.1116369696699955E-2</v>
      </c>
      <c r="L16" s="36">
        <v>170290.12999999998</v>
      </c>
      <c r="M16" s="27">
        <v>0.15057486857226443</v>
      </c>
      <c r="N16" s="36">
        <v>578048.33000000007</v>
      </c>
      <c r="O16" s="27">
        <v>0.43978102257809026</v>
      </c>
      <c r="P16" s="115">
        <v>629095.90000000061</v>
      </c>
      <c r="Q16" s="104">
        <f t="shared" si="1"/>
        <v>0.26552117611444764</v>
      </c>
      <c r="R16" s="38"/>
      <c r="S16" s="36">
        <v>4742.76</v>
      </c>
      <c r="T16" s="27">
        <v>4.7139811451091095E-3</v>
      </c>
      <c r="U16" s="36">
        <v>38127.910000000003</v>
      </c>
      <c r="V16" s="27">
        <v>3.7711387722603844E-2</v>
      </c>
      <c r="W16" s="36">
        <v>33551.25</v>
      </c>
      <c r="X16" s="27">
        <v>2.9666869472618217E-2</v>
      </c>
      <c r="Y16" s="36">
        <v>47699.85</v>
      </c>
      <c r="Z16" s="27">
        <v>3.629019879673645E-2</v>
      </c>
      <c r="AA16" s="115">
        <v>45068.05999999999</v>
      </c>
      <c r="AB16" s="104">
        <f t="shared" si="2"/>
        <v>1.9021780775230736E-2</v>
      </c>
      <c r="AC16" s="214" t="str">
        <f t="shared" si="0"/>
        <v>OK</v>
      </c>
      <c r="AD16" t="s">
        <v>5</v>
      </c>
      <c r="AE16">
        <v>2369287.11</v>
      </c>
      <c r="AF16">
        <v>629095.90000000061</v>
      </c>
      <c r="AG16">
        <v>45068.05999999999</v>
      </c>
    </row>
    <row r="17" spans="1:33" x14ac:dyDescent="0.25">
      <c r="A17" s="17" t="s">
        <v>22</v>
      </c>
      <c r="B17" s="36">
        <v>1948477</v>
      </c>
      <c r="C17" s="36">
        <v>1975769</v>
      </c>
      <c r="D17" s="36">
        <v>2866236.1600000039</v>
      </c>
      <c r="E17" s="36">
        <v>2937673.9099999955</v>
      </c>
      <c r="F17" s="115">
        <v>2519550.939999992</v>
      </c>
      <c r="G17" s="38"/>
      <c r="H17" s="36">
        <v>259515.54</v>
      </c>
      <c r="I17" s="27">
        <v>0.13318891626639678</v>
      </c>
      <c r="J17" s="36">
        <v>146625.41999999995</v>
      </c>
      <c r="K17" s="27">
        <v>7.4211823345745359E-2</v>
      </c>
      <c r="L17" s="36">
        <v>662940.2799999998</v>
      </c>
      <c r="M17" s="27">
        <v>0.23129297203479524</v>
      </c>
      <c r="N17" s="36">
        <v>480799.42999999976</v>
      </c>
      <c r="O17" s="27">
        <v>0.16366671207560968</v>
      </c>
      <c r="P17" s="115">
        <v>257048.71</v>
      </c>
      <c r="Q17" s="104">
        <f t="shared" si="1"/>
        <v>0.10202163644288169</v>
      </c>
      <c r="R17" s="38"/>
      <c r="S17" s="36">
        <v>35210.299999999996</v>
      </c>
      <c r="T17" s="27">
        <v>1.8070677765249472E-2</v>
      </c>
      <c r="U17" s="36">
        <v>8172.6200000000008</v>
      </c>
      <c r="V17" s="27">
        <v>4.1364248553348096E-3</v>
      </c>
      <c r="W17" s="36">
        <v>24022.81</v>
      </c>
      <c r="X17" s="27">
        <v>8.3813086776492168E-3</v>
      </c>
      <c r="Y17" s="36">
        <v>45416.829999999987</v>
      </c>
      <c r="Z17" s="27">
        <v>1.5460133218121563E-2</v>
      </c>
      <c r="AA17" s="115">
        <v>18442.330000000002</v>
      </c>
      <c r="AB17" s="104">
        <f t="shared" si="2"/>
        <v>7.3196892776456668E-3</v>
      </c>
      <c r="AC17" s="214" t="str">
        <f t="shared" si="0"/>
        <v>OK</v>
      </c>
      <c r="AD17" t="s">
        <v>22</v>
      </c>
      <c r="AE17">
        <v>2519550.939999992</v>
      </c>
      <c r="AF17">
        <v>257048.71</v>
      </c>
      <c r="AG17">
        <v>18442.330000000002</v>
      </c>
    </row>
    <row r="18" spans="1:33" x14ac:dyDescent="0.25">
      <c r="A18" s="17" t="s">
        <v>7</v>
      </c>
      <c r="B18" s="36">
        <v>30516542</v>
      </c>
      <c r="C18" s="36">
        <v>32661903</v>
      </c>
      <c r="D18" s="36">
        <v>38379703.53999991</v>
      </c>
      <c r="E18" s="36">
        <v>38139119.509999581</v>
      </c>
      <c r="F18" s="115">
        <v>37374400.070000038</v>
      </c>
      <c r="G18" s="38"/>
      <c r="H18" s="36">
        <v>1947378.78</v>
      </c>
      <c r="I18" s="27">
        <v>6.3813874455369152E-2</v>
      </c>
      <c r="J18" s="36">
        <v>1914588.85</v>
      </c>
      <c r="K18" s="27">
        <v>5.8618410874589889E-2</v>
      </c>
      <c r="L18" s="36">
        <v>2709386.4199999915</v>
      </c>
      <c r="M18" s="27">
        <v>7.0594250869505229E-2</v>
      </c>
      <c r="N18" s="36">
        <v>2664190.2900000047</v>
      </c>
      <c r="O18" s="27">
        <v>6.9854530577232871E-2</v>
      </c>
      <c r="P18" s="115">
        <v>3344401.7199999904</v>
      </c>
      <c r="Q18" s="104">
        <f t="shared" si="1"/>
        <v>8.9483756628497696E-2</v>
      </c>
      <c r="R18" s="38"/>
      <c r="S18" s="36">
        <v>162415.76</v>
      </c>
      <c r="T18" s="27">
        <v>5.3222203223418961E-3</v>
      </c>
      <c r="U18" s="36">
        <v>131898.53</v>
      </c>
      <c r="V18" s="27">
        <v>4.038298993172566E-3</v>
      </c>
      <c r="W18" s="36">
        <v>124163.40999999999</v>
      </c>
      <c r="X18" s="27">
        <v>3.2351320762703389E-3</v>
      </c>
      <c r="Y18" s="36">
        <v>218373.45</v>
      </c>
      <c r="Z18" s="27">
        <v>5.7257076934548881E-3</v>
      </c>
      <c r="AA18" s="115">
        <v>241050.24000000005</v>
      </c>
      <c r="AB18" s="104">
        <f t="shared" si="2"/>
        <v>6.4496082759462952E-3</v>
      </c>
      <c r="AC18" s="214" t="str">
        <f t="shared" si="0"/>
        <v>OK</v>
      </c>
      <c r="AD18" t="s">
        <v>7</v>
      </c>
      <c r="AE18">
        <v>37374400.070000038</v>
      </c>
      <c r="AF18">
        <v>3344401.7199999904</v>
      </c>
      <c r="AG18">
        <v>241050.24000000005</v>
      </c>
    </row>
    <row r="19" spans="1:33" x14ac:dyDescent="0.25">
      <c r="A19" s="17" t="s">
        <v>6</v>
      </c>
      <c r="B19" s="36"/>
      <c r="C19" s="36">
        <v>0</v>
      </c>
      <c r="D19" s="36">
        <v>0</v>
      </c>
      <c r="E19" s="36">
        <v>0</v>
      </c>
      <c r="F19" s="115">
        <v>0</v>
      </c>
      <c r="G19" s="38"/>
      <c r="H19" s="36"/>
      <c r="I19" s="27"/>
      <c r="J19" s="36"/>
      <c r="K19" s="27"/>
      <c r="L19" s="36"/>
      <c r="M19" s="27"/>
      <c r="N19" s="36"/>
      <c r="O19" s="27"/>
      <c r="P19" s="115">
        <v>0</v>
      </c>
      <c r="Q19" s="104"/>
      <c r="R19" s="38"/>
      <c r="S19" s="36">
        <v>0</v>
      </c>
      <c r="T19" s="27"/>
      <c r="U19" s="36">
        <v>0</v>
      </c>
      <c r="V19" s="27"/>
      <c r="W19" s="36"/>
      <c r="X19" s="27"/>
      <c r="Y19" s="36"/>
      <c r="Z19" s="27"/>
      <c r="AA19" s="115">
        <v>0</v>
      </c>
      <c r="AB19" s="104"/>
      <c r="AC19" s="214" t="str">
        <f t="shared" si="0"/>
        <v>OK</v>
      </c>
      <c r="AD19" t="s">
        <v>6</v>
      </c>
      <c r="AE19">
        <v>0</v>
      </c>
      <c r="AF19">
        <v>0</v>
      </c>
      <c r="AG19">
        <v>0</v>
      </c>
    </row>
    <row r="20" spans="1:33" x14ac:dyDescent="0.25">
      <c r="A20" s="17" t="s">
        <v>30</v>
      </c>
      <c r="B20" s="36"/>
      <c r="C20" s="36">
        <v>0</v>
      </c>
      <c r="D20" s="36">
        <v>0</v>
      </c>
      <c r="E20" s="36">
        <v>0</v>
      </c>
      <c r="F20" s="115">
        <v>0</v>
      </c>
      <c r="G20" s="38"/>
      <c r="H20" s="36"/>
      <c r="I20" s="27"/>
      <c r="J20" s="36"/>
      <c r="K20" s="27"/>
      <c r="L20" s="36"/>
      <c r="M20" s="27"/>
      <c r="N20" s="36"/>
      <c r="O20" s="27"/>
      <c r="P20" s="115"/>
      <c r="Q20" s="104"/>
      <c r="R20" s="38"/>
      <c r="S20" s="36"/>
      <c r="T20" s="27"/>
      <c r="U20" s="36"/>
      <c r="V20" s="27"/>
      <c r="W20" s="36"/>
      <c r="X20" s="27"/>
      <c r="Y20" s="36"/>
      <c r="Z20" s="27"/>
      <c r="AA20" s="115">
        <v>0</v>
      </c>
      <c r="AB20" s="104"/>
      <c r="AC20" s="214" t="str">
        <f t="shared" si="0"/>
        <v>OK</v>
      </c>
      <c r="AD20" t="s">
        <v>30</v>
      </c>
      <c r="AE20">
        <v>0</v>
      </c>
      <c r="AG20">
        <v>0</v>
      </c>
    </row>
    <row r="21" spans="1:33" x14ac:dyDescent="0.25">
      <c r="A21" s="17" t="s">
        <v>8</v>
      </c>
      <c r="B21" s="36">
        <v>772690</v>
      </c>
      <c r="C21" s="36">
        <v>824744</v>
      </c>
      <c r="D21" s="36">
        <v>505269.7899999998</v>
      </c>
      <c r="E21" s="36">
        <v>311757.63000000012</v>
      </c>
      <c r="F21" s="115">
        <v>269318.78000000003</v>
      </c>
      <c r="G21" s="38"/>
      <c r="H21" s="36">
        <v>322499.15999999997</v>
      </c>
      <c r="I21" s="27">
        <v>0.4173719861781568</v>
      </c>
      <c r="J21" s="36">
        <v>92046.170000000013</v>
      </c>
      <c r="K21" s="27">
        <v>0.11160574675293183</v>
      </c>
      <c r="L21" s="36">
        <v>136133.79999999999</v>
      </c>
      <c r="M21" s="27">
        <v>0.26942794264426545</v>
      </c>
      <c r="N21" s="36">
        <v>84878.239999999991</v>
      </c>
      <c r="O21" s="27">
        <v>0.27225713770020626</v>
      </c>
      <c r="P21" s="115">
        <v>36086.1</v>
      </c>
      <c r="Q21" s="104">
        <f t="shared" si="1"/>
        <v>0.13399028467305546</v>
      </c>
      <c r="R21" s="38"/>
      <c r="S21" s="36">
        <v>220426.90000000002</v>
      </c>
      <c r="T21" s="27">
        <v>0.28527210136018327</v>
      </c>
      <c r="U21" s="36">
        <v>4948.79</v>
      </c>
      <c r="V21" s="27">
        <v>6.0003952741699241E-3</v>
      </c>
      <c r="W21" s="36">
        <v>31005.690000000002</v>
      </c>
      <c r="X21" s="27">
        <v>6.1364622650406257E-2</v>
      </c>
      <c r="Y21" s="36">
        <v>61393.659999999989</v>
      </c>
      <c r="Z21" s="27">
        <v>0.19692752988916412</v>
      </c>
      <c r="AA21" s="115">
        <v>4030.73</v>
      </c>
      <c r="AB21" s="104">
        <f t="shared" si="2"/>
        <v>1.4966390386886498E-2</v>
      </c>
      <c r="AC21" s="214" t="str">
        <f t="shared" si="0"/>
        <v>OK</v>
      </c>
      <c r="AD21" t="s">
        <v>8</v>
      </c>
      <c r="AE21">
        <v>269318.78000000003</v>
      </c>
      <c r="AF21">
        <v>36086.1</v>
      </c>
      <c r="AG21">
        <v>4030.73</v>
      </c>
    </row>
    <row r="22" spans="1:33" x14ac:dyDescent="0.25">
      <c r="A22" s="17" t="s">
        <v>9</v>
      </c>
      <c r="B22" s="36">
        <v>6137766</v>
      </c>
      <c r="C22" s="36">
        <v>5750861</v>
      </c>
      <c r="D22" s="36">
        <v>6135518.3699999731</v>
      </c>
      <c r="E22" s="36">
        <v>5708077.5299999928</v>
      </c>
      <c r="F22" s="115">
        <v>5263103.8199999891</v>
      </c>
      <c r="G22" s="38"/>
      <c r="H22" s="36">
        <v>527834.54</v>
      </c>
      <c r="I22" s="27">
        <v>8.5997827222478021E-2</v>
      </c>
      <c r="J22" s="36">
        <v>424789.14</v>
      </c>
      <c r="K22" s="27">
        <v>7.3865311646377829E-2</v>
      </c>
      <c r="L22" s="36">
        <v>758329.14000000025</v>
      </c>
      <c r="M22" s="27">
        <v>0.12359658862858292</v>
      </c>
      <c r="N22" s="36">
        <v>645940.58000000019</v>
      </c>
      <c r="O22" s="27">
        <v>0.11316254493831324</v>
      </c>
      <c r="P22" s="115">
        <v>674199.94999999984</v>
      </c>
      <c r="Q22" s="104">
        <f t="shared" si="1"/>
        <v>0.12809930661789629</v>
      </c>
      <c r="R22" s="38"/>
      <c r="S22" s="36">
        <v>12000.849999999999</v>
      </c>
      <c r="T22" s="27">
        <v>1.9552472349059899E-3</v>
      </c>
      <c r="U22" s="36">
        <v>17659.79</v>
      </c>
      <c r="V22" s="27">
        <v>3.0708080059664109E-3</v>
      </c>
      <c r="W22" s="36">
        <v>40518.339999999997</v>
      </c>
      <c r="X22" s="27">
        <v>6.6038984086686341E-3</v>
      </c>
      <c r="Y22" s="36">
        <v>97517.18</v>
      </c>
      <c r="Z22" s="27">
        <v>1.708406718154722E-2</v>
      </c>
      <c r="AA22" s="115">
        <v>70930.460000000006</v>
      </c>
      <c r="AB22" s="104">
        <f t="shared" si="2"/>
        <v>1.3476925864631747E-2</v>
      </c>
      <c r="AC22" s="214" t="str">
        <f t="shared" si="0"/>
        <v>OK</v>
      </c>
      <c r="AD22" t="s">
        <v>9</v>
      </c>
      <c r="AE22">
        <v>5263103.8199999891</v>
      </c>
      <c r="AF22">
        <v>674199.94999999984</v>
      </c>
      <c r="AG22">
        <v>70930.460000000006</v>
      </c>
    </row>
    <row r="23" spans="1:33" x14ac:dyDescent="0.25">
      <c r="A23" s="17" t="s">
        <v>24</v>
      </c>
      <c r="B23" s="36">
        <v>154207962</v>
      </c>
      <c r="C23" s="36">
        <v>159638517</v>
      </c>
      <c r="D23" s="36">
        <v>171860589.29999661</v>
      </c>
      <c r="E23" s="36">
        <v>185682312.35999787</v>
      </c>
      <c r="F23" s="115">
        <v>196112500.62999451</v>
      </c>
      <c r="G23" s="38"/>
      <c r="H23" s="36">
        <v>20040641.870000001</v>
      </c>
      <c r="I23" s="27">
        <v>0.12995854176452964</v>
      </c>
      <c r="J23" s="36">
        <v>20101249.639999934</v>
      </c>
      <c r="K23" s="27">
        <v>0.1259172912512081</v>
      </c>
      <c r="L23" s="36">
        <v>25029833.520000007</v>
      </c>
      <c r="M23" s="27">
        <v>0.14564033337688839</v>
      </c>
      <c r="N23" s="36">
        <v>27364182.620000064</v>
      </c>
      <c r="O23" s="27">
        <v>0.14737097073062527</v>
      </c>
      <c r="P23" s="115">
        <v>29269464.839999828</v>
      </c>
      <c r="Q23" s="104">
        <f t="shared" si="1"/>
        <v>0.14924833830568779</v>
      </c>
      <c r="R23" s="38"/>
      <c r="S23" s="36">
        <v>1545308.41</v>
      </c>
      <c r="T23" s="27">
        <v>1.0020937894244396E-2</v>
      </c>
      <c r="U23" s="36">
        <v>1948371.879999999</v>
      </c>
      <c r="V23" s="27">
        <v>1.2204898395541966E-2</v>
      </c>
      <c r="W23" s="36">
        <v>2324898.3099999996</v>
      </c>
      <c r="X23" s="27">
        <v>1.3527815303494048E-2</v>
      </c>
      <c r="Y23" s="36">
        <v>2413172.2600000035</v>
      </c>
      <c r="Z23" s="27">
        <v>1.2996241964724051E-2</v>
      </c>
      <c r="AA23" s="115">
        <v>2943984.2400000021</v>
      </c>
      <c r="AB23" s="104">
        <f t="shared" si="2"/>
        <v>1.5011711290931004E-2</v>
      </c>
      <c r="AC23" s="214" t="str">
        <f t="shared" si="0"/>
        <v>OK</v>
      </c>
      <c r="AD23" t="s">
        <v>24</v>
      </c>
      <c r="AE23">
        <v>196112500.62999451</v>
      </c>
      <c r="AF23">
        <v>29269464.839999828</v>
      </c>
      <c r="AG23">
        <v>2943984.2400000021</v>
      </c>
    </row>
    <row r="24" spans="1:33" x14ac:dyDescent="0.25">
      <c r="A24" s="17" t="s">
        <v>25</v>
      </c>
      <c r="B24" s="36"/>
      <c r="C24" s="36">
        <v>0</v>
      </c>
      <c r="D24" s="36">
        <v>0</v>
      </c>
      <c r="E24" s="36">
        <v>0</v>
      </c>
      <c r="F24" s="115">
        <v>0</v>
      </c>
      <c r="G24" s="38"/>
      <c r="H24" s="36"/>
      <c r="I24" s="27"/>
      <c r="J24" s="36"/>
      <c r="K24" s="27"/>
      <c r="L24" s="36"/>
      <c r="M24" s="27"/>
      <c r="N24" s="36"/>
      <c r="O24" s="27"/>
      <c r="P24" s="115"/>
      <c r="Q24" s="104"/>
      <c r="R24" s="38"/>
      <c r="S24" s="36"/>
      <c r="T24" s="27"/>
      <c r="U24" s="36"/>
      <c r="V24" s="27"/>
      <c r="W24" s="36"/>
      <c r="X24" s="27"/>
      <c r="Y24" s="36"/>
      <c r="Z24" s="27"/>
      <c r="AA24" s="115">
        <v>0</v>
      </c>
      <c r="AB24" s="104"/>
      <c r="AC24" s="214" t="str">
        <f t="shared" si="0"/>
        <v>OK</v>
      </c>
      <c r="AD24" t="s">
        <v>25</v>
      </c>
      <c r="AE24">
        <v>0</v>
      </c>
      <c r="AG24">
        <v>0</v>
      </c>
    </row>
    <row r="25" spans="1:33" x14ac:dyDescent="0.25">
      <c r="A25" s="17" t="s">
        <v>34</v>
      </c>
      <c r="B25" s="36"/>
      <c r="C25" s="36">
        <v>0</v>
      </c>
      <c r="D25" s="36">
        <v>0</v>
      </c>
      <c r="E25" s="36">
        <v>0</v>
      </c>
      <c r="F25" s="115">
        <v>0</v>
      </c>
      <c r="G25" s="38"/>
      <c r="H25" s="36"/>
      <c r="I25" s="27"/>
      <c r="J25" s="36"/>
      <c r="K25" s="27"/>
      <c r="L25" s="36">
        <v>0</v>
      </c>
      <c r="M25" s="27"/>
      <c r="N25" s="36"/>
      <c r="O25" s="27"/>
      <c r="P25" s="115">
        <v>0</v>
      </c>
      <c r="Q25" s="104"/>
      <c r="R25" s="38"/>
      <c r="S25" s="36"/>
      <c r="T25" s="27"/>
      <c r="U25" s="36"/>
      <c r="V25" s="27"/>
      <c r="W25" s="36"/>
      <c r="X25" s="27"/>
      <c r="Y25" s="36"/>
      <c r="Z25" s="27"/>
      <c r="AA25" s="115">
        <v>0</v>
      </c>
      <c r="AB25" s="104"/>
      <c r="AC25" s="214" t="str">
        <f t="shared" si="0"/>
        <v>OK</v>
      </c>
      <c r="AD25" t="s">
        <v>34</v>
      </c>
      <c r="AE25">
        <v>0</v>
      </c>
      <c r="AF25">
        <v>0</v>
      </c>
      <c r="AG25">
        <v>0</v>
      </c>
    </row>
    <row r="26" spans="1:33" x14ac:dyDescent="0.25">
      <c r="A26" s="17" t="s">
        <v>10</v>
      </c>
      <c r="B26" s="36">
        <v>465285</v>
      </c>
      <c r="C26" s="36">
        <v>108353</v>
      </c>
      <c r="D26" s="36">
        <v>124990.11999999997</v>
      </c>
      <c r="E26" s="36">
        <v>240563.68000000011</v>
      </c>
      <c r="F26" s="115">
        <v>160307.01999999996</v>
      </c>
      <c r="G26" s="38"/>
      <c r="H26" s="36">
        <v>4248.01</v>
      </c>
      <c r="I26" s="27">
        <v>9.1299096252834295E-3</v>
      </c>
      <c r="J26" s="36">
        <v>34390.43</v>
      </c>
      <c r="K26" s="27">
        <v>0.31739250413001946</v>
      </c>
      <c r="L26" s="36">
        <v>13775.329999999998</v>
      </c>
      <c r="M26" s="27">
        <v>0.11021135110519137</v>
      </c>
      <c r="N26" s="36">
        <v>27446.760000000002</v>
      </c>
      <c r="O26" s="27">
        <v>0.11409353232374891</v>
      </c>
      <c r="P26" s="115">
        <v>31556.78</v>
      </c>
      <c r="Q26" s="104">
        <f t="shared" si="1"/>
        <v>0.19685214034918749</v>
      </c>
      <c r="R26" s="38"/>
      <c r="S26" s="36">
        <v>0</v>
      </c>
      <c r="T26" s="27">
        <v>0</v>
      </c>
      <c r="U26" s="36">
        <v>0</v>
      </c>
      <c r="V26" s="27">
        <v>0</v>
      </c>
      <c r="W26" s="36">
        <v>0</v>
      </c>
      <c r="X26" s="27">
        <v>0</v>
      </c>
      <c r="Y26" s="36">
        <v>-1.999999999998181E-2</v>
      </c>
      <c r="Z26" s="27">
        <v>-8.3138069720174714E-8</v>
      </c>
      <c r="AA26" s="115">
        <v>0</v>
      </c>
      <c r="AB26" s="104">
        <f t="shared" si="2"/>
        <v>0</v>
      </c>
      <c r="AC26" s="214" t="str">
        <f t="shared" si="0"/>
        <v>OK</v>
      </c>
      <c r="AD26" t="s">
        <v>10</v>
      </c>
      <c r="AE26">
        <v>160307.01999999996</v>
      </c>
      <c r="AF26">
        <v>31556.78</v>
      </c>
      <c r="AG26">
        <v>0</v>
      </c>
    </row>
    <row r="27" spans="1:33" x14ac:dyDescent="0.25">
      <c r="A27" s="17" t="s">
        <v>11</v>
      </c>
      <c r="B27" s="36">
        <v>483190</v>
      </c>
      <c r="C27" s="36">
        <v>837017</v>
      </c>
      <c r="D27" s="36">
        <v>837864.2200000002</v>
      </c>
      <c r="E27" s="36">
        <v>577645.15999999992</v>
      </c>
      <c r="F27" s="115">
        <v>314038.68999999994</v>
      </c>
      <c r="G27" s="38"/>
      <c r="H27" s="36">
        <v>101065.49</v>
      </c>
      <c r="I27" s="27">
        <v>0.20916304145367248</v>
      </c>
      <c r="J27" s="36">
        <v>244700.55999999991</v>
      </c>
      <c r="K27" s="27">
        <v>0.29234837524207979</v>
      </c>
      <c r="L27" s="36">
        <v>103167.64999999998</v>
      </c>
      <c r="M27" s="27">
        <v>0.1231317050392723</v>
      </c>
      <c r="N27" s="36">
        <v>40913.459999999992</v>
      </c>
      <c r="O27" s="27">
        <v>7.082801490105102E-2</v>
      </c>
      <c r="P27" s="115">
        <v>50677.670000000013</v>
      </c>
      <c r="Q27" s="104">
        <f t="shared" si="1"/>
        <v>0.16137396955770011</v>
      </c>
      <c r="R27" s="38"/>
      <c r="S27" s="36">
        <v>7420.94</v>
      </c>
      <c r="T27" s="27">
        <v>1.5358223473167905E-2</v>
      </c>
      <c r="U27" s="36">
        <v>56631.78</v>
      </c>
      <c r="V27" s="27">
        <v>6.7659055909258706E-2</v>
      </c>
      <c r="W27" s="36">
        <v>1740.01</v>
      </c>
      <c r="X27" s="27">
        <v>2.0767207364458164E-3</v>
      </c>
      <c r="Y27" s="36">
        <v>2731.08</v>
      </c>
      <c r="Z27" s="27">
        <v>4.727954441789143E-3</v>
      </c>
      <c r="AA27" s="115">
        <v>1142.77</v>
      </c>
      <c r="AB27" s="104">
        <f t="shared" si="2"/>
        <v>3.6389465259837896E-3</v>
      </c>
      <c r="AC27" s="214" t="str">
        <f t="shared" si="0"/>
        <v>OK</v>
      </c>
      <c r="AD27" t="s">
        <v>11</v>
      </c>
      <c r="AE27">
        <v>314038.68999999994</v>
      </c>
      <c r="AF27">
        <v>50677.670000000013</v>
      </c>
      <c r="AG27">
        <v>1142.77</v>
      </c>
    </row>
    <row r="28" spans="1:33" x14ac:dyDescent="0.25">
      <c r="A28" s="17" t="s">
        <v>197</v>
      </c>
      <c r="B28" s="36">
        <v>4785652</v>
      </c>
      <c r="C28" s="36">
        <v>4722034</v>
      </c>
      <c r="D28" s="36">
        <v>4784260.9300000081</v>
      </c>
      <c r="E28" s="36">
        <v>5074591.109999992</v>
      </c>
      <c r="F28" s="115">
        <v>5283178.0599999949</v>
      </c>
      <c r="G28" s="38"/>
      <c r="H28" s="36">
        <v>539752.67000000004</v>
      </c>
      <c r="I28" s="27">
        <v>0.11278560789626994</v>
      </c>
      <c r="J28" s="36">
        <v>242916.41000000009</v>
      </c>
      <c r="K28" s="27">
        <v>5.1443172581984817E-2</v>
      </c>
      <c r="L28" s="36">
        <v>175382.56999999995</v>
      </c>
      <c r="M28" s="27">
        <v>3.6658236782248339E-2</v>
      </c>
      <c r="N28" s="36">
        <v>208608.04000000004</v>
      </c>
      <c r="O28" s="27">
        <v>4.1108344589363452E-2</v>
      </c>
      <c r="P28" s="115">
        <v>322611.50999999989</v>
      </c>
      <c r="Q28" s="104">
        <f t="shared" si="1"/>
        <v>6.1063910081425532E-2</v>
      </c>
      <c r="R28" s="38"/>
      <c r="S28" s="36">
        <v>47073.040000000008</v>
      </c>
      <c r="T28" s="27">
        <v>9.83628563046373E-3</v>
      </c>
      <c r="U28" s="36">
        <v>27216.080000000005</v>
      </c>
      <c r="V28" s="27">
        <v>5.7636349081772826E-3</v>
      </c>
      <c r="W28" s="36">
        <v>12398.28</v>
      </c>
      <c r="X28" s="27">
        <v>2.5914723677080004E-3</v>
      </c>
      <c r="Y28" s="36">
        <v>2272.7299999999996</v>
      </c>
      <c r="Z28" s="27">
        <v>4.478646556411918E-4</v>
      </c>
      <c r="AA28" s="115">
        <v>67098.800000000017</v>
      </c>
      <c r="AB28" s="104">
        <f t="shared" si="2"/>
        <v>1.2700461585426875E-2</v>
      </c>
      <c r="AC28" s="214" t="str">
        <f t="shared" si="0"/>
        <v>OK</v>
      </c>
      <c r="AD28" t="s">
        <v>197</v>
      </c>
      <c r="AE28">
        <v>5283178.0599999949</v>
      </c>
      <c r="AF28">
        <v>322611.50999999989</v>
      </c>
      <c r="AG28">
        <v>67098.800000000017</v>
      </c>
    </row>
    <row r="29" spans="1:33" x14ac:dyDescent="0.25">
      <c r="A29" s="17" t="s">
        <v>12</v>
      </c>
      <c r="B29" s="36">
        <v>5368618</v>
      </c>
      <c r="C29" s="36">
        <v>5021214</v>
      </c>
      <c r="D29" s="36">
        <v>4387691.0799999824</v>
      </c>
      <c r="E29" s="36">
        <v>5191228.6200000038</v>
      </c>
      <c r="F29" s="115">
        <v>5691959.10999995</v>
      </c>
      <c r="G29" s="38"/>
      <c r="H29" s="36">
        <v>490047.96</v>
      </c>
      <c r="I29" s="27">
        <v>9.1280094802796558E-2</v>
      </c>
      <c r="J29" s="36">
        <v>221718.52000000014</v>
      </c>
      <c r="K29" s="27">
        <v>4.415635740679448E-2</v>
      </c>
      <c r="L29" s="36">
        <v>324377.93</v>
      </c>
      <c r="M29" s="27">
        <v>7.3929072053085673E-2</v>
      </c>
      <c r="N29" s="36">
        <v>466740.74000000005</v>
      </c>
      <c r="O29" s="27">
        <v>8.9909494296169082E-2</v>
      </c>
      <c r="P29" s="115">
        <v>568800.87999999989</v>
      </c>
      <c r="Q29" s="104">
        <f t="shared" si="1"/>
        <v>9.9930598412187974E-2</v>
      </c>
      <c r="R29" s="38"/>
      <c r="S29" s="36">
        <v>27832.45</v>
      </c>
      <c r="T29" s="27">
        <v>5.1842857882605916E-3</v>
      </c>
      <c r="U29" s="36">
        <v>17671.349999999999</v>
      </c>
      <c r="V29" s="27">
        <v>3.5193381520883193E-3</v>
      </c>
      <c r="W29" s="36">
        <v>13369.850000000002</v>
      </c>
      <c r="X29" s="27">
        <v>3.0471265538594061E-3</v>
      </c>
      <c r="Y29" s="36">
        <v>13190.84</v>
      </c>
      <c r="Z29" s="27">
        <v>2.5409861452027498E-3</v>
      </c>
      <c r="AA29" s="115">
        <v>19213.07</v>
      </c>
      <c r="AB29" s="104">
        <f t="shared" si="2"/>
        <v>3.3754757595228346E-3</v>
      </c>
      <c r="AC29" s="214" t="str">
        <f t="shared" si="0"/>
        <v>OK</v>
      </c>
      <c r="AD29" t="s">
        <v>12</v>
      </c>
      <c r="AE29">
        <v>5691959.10999995</v>
      </c>
      <c r="AF29">
        <v>568800.87999999989</v>
      </c>
      <c r="AG29">
        <v>19213.07</v>
      </c>
    </row>
    <row r="30" spans="1:33" x14ac:dyDescent="0.25">
      <c r="A30" s="17" t="s">
        <v>13</v>
      </c>
      <c r="B30" s="36">
        <v>3516065</v>
      </c>
      <c r="C30" s="36">
        <v>3794509</v>
      </c>
      <c r="D30" s="36">
        <v>5071634.979999993</v>
      </c>
      <c r="E30" s="36">
        <v>5138595.5299999854</v>
      </c>
      <c r="F30" s="115">
        <v>4102392.4499999802</v>
      </c>
      <c r="G30" s="38"/>
      <c r="H30" s="36">
        <v>299449.23</v>
      </c>
      <c r="I30" s="27">
        <v>8.5166010867262124E-2</v>
      </c>
      <c r="J30" s="36">
        <v>418349.37000000017</v>
      </c>
      <c r="K30" s="27">
        <v>0.1102512525335953</v>
      </c>
      <c r="L30" s="36">
        <v>491970.5500000004</v>
      </c>
      <c r="M30" s="27">
        <v>9.7004329361258773E-2</v>
      </c>
      <c r="N30" s="36">
        <v>633303.58999999985</v>
      </c>
      <c r="O30" s="27">
        <v>0.12324449089302066</v>
      </c>
      <c r="P30" s="115">
        <v>355240.11999999976</v>
      </c>
      <c r="Q30" s="104">
        <f t="shared" si="1"/>
        <v>8.6593402345014919E-2</v>
      </c>
      <c r="R30" s="38"/>
      <c r="S30" s="36">
        <v>72579.989999999991</v>
      </c>
      <c r="T30" s="27">
        <v>2.0642391423366744E-2</v>
      </c>
      <c r="U30" s="36">
        <v>47338.909999999996</v>
      </c>
      <c r="V30" s="27">
        <v>1.2475635187582898E-2</v>
      </c>
      <c r="W30" s="36">
        <v>125528.70000000001</v>
      </c>
      <c r="X30" s="27">
        <v>2.4751130650179438E-2</v>
      </c>
      <c r="Y30" s="36">
        <v>59620.5</v>
      </c>
      <c r="Z30" s="27">
        <v>1.1602489367362247E-2</v>
      </c>
      <c r="AA30" s="115">
        <v>30955.920000000002</v>
      </c>
      <c r="AB30" s="104">
        <f t="shared" si="2"/>
        <v>7.545821219517931E-3</v>
      </c>
      <c r="AC30" s="214" t="str">
        <f t="shared" si="0"/>
        <v>OK</v>
      </c>
      <c r="AD30" t="s">
        <v>13</v>
      </c>
      <c r="AE30">
        <v>4102392.4499999802</v>
      </c>
      <c r="AF30">
        <v>355240.11999999976</v>
      </c>
      <c r="AG30">
        <v>30955.920000000002</v>
      </c>
    </row>
    <row r="31" spans="1:33" x14ac:dyDescent="0.25">
      <c r="A31" s="17" t="s">
        <v>14</v>
      </c>
      <c r="B31" s="36">
        <v>1531235</v>
      </c>
      <c r="C31" s="36">
        <v>1246933</v>
      </c>
      <c r="D31" s="36">
        <v>1427818.4100000001</v>
      </c>
      <c r="E31" s="36">
        <v>1755548.43</v>
      </c>
      <c r="F31" s="115">
        <v>1777852.1500000022</v>
      </c>
      <c r="G31" s="38"/>
      <c r="H31" s="36">
        <v>118051.57</v>
      </c>
      <c r="I31" s="27">
        <v>7.7095658079915891E-2</v>
      </c>
      <c r="J31" s="36">
        <v>83528.319999999978</v>
      </c>
      <c r="K31" s="27">
        <v>6.698701534084027E-2</v>
      </c>
      <c r="L31" s="36">
        <v>116776.66000000003</v>
      </c>
      <c r="M31" s="27">
        <v>8.1786772871208474E-2</v>
      </c>
      <c r="N31" s="36">
        <v>37948.71</v>
      </c>
      <c r="O31" s="27">
        <v>2.1616441535594662E-2</v>
      </c>
      <c r="P31" s="115">
        <v>114452.07000000002</v>
      </c>
      <c r="Q31" s="104">
        <f t="shared" si="1"/>
        <v>6.4376596220332427E-2</v>
      </c>
      <c r="R31" s="38"/>
      <c r="S31" s="36">
        <v>2371.38</v>
      </c>
      <c r="T31" s="27">
        <v>1.5486714971901766E-3</v>
      </c>
      <c r="U31" s="36">
        <v>7675.24</v>
      </c>
      <c r="V31" s="27">
        <v>6.1552946309063918E-3</v>
      </c>
      <c r="W31" s="36">
        <v>3574.73</v>
      </c>
      <c r="X31" s="27">
        <v>2.5036306962872117E-3</v>
      </c>
      <c r="Y31" s="36">
        <v>4285</v>
      </c>
      <c r="Z31" s="27">
        <v>2.4408326918101599E-3</v>
      </c>
      <c r="AA31" s="115">
        <v>398.67</v>
      </c>
      <c r="AB31" s="104">
        <f t="shared" si="2"/>
        <v>2.2424249395541665E-4</v>
      </c>
      <c r="AC31" s="214" t="str">
        <f t="shared" si="0"/>
        <v>OK</v>
      </c>
      <c r="AD31" t="s">
        <v>14</v>
      </c>
      <c r="AE31">
        <v>1777852.1500000022</v>
      </c>
      <c r="AF31">
        <v>114452.07000000002</v>
      </c>
      <c r="AG31">
        <v>398.67</v>
      </c>
    </row>
    <row r="32" spans="1:33" x14ac:dyDescent="0.25">
      <c r="A32" s="17" t="s">
        <v>15</v>
      </c>
      <c r="B32" s="36">
        <v>4025308</v>
      </c>
      <c r="C32" s="36">
        <v>3815074</v>
      </c>
      <c r="D32" s="36">
        <v>2789468.6099999957</v>
      </c>
      <c r="E32" s="36">
        <v>1734773.8500000013</v>
      </c>
      <c r="F32" s="115">
        <v>2284835.6100000008</v>
      </c>
      <c r="G32" s="38"/>
      <c r="H32" s="36">
        <v>646733.79</v>
      </c>
      <c r="I32" s="27">
        <v>0.16066690797325323</v>
      </c>
      <c r="J32" s="36">
        <v>663126.28999999969</v>
      </c>
      <c r="K32" s="27">
        <v>0.17381741219174246</v>
      </c>
      <c r="L32" s="36">
        <v>101081.85000000008</v>
      </c>
      <c r="M32" s="27">
        <v>3.6236955539714871E-2</v>
      </c>
      <c r="N32" s="36">
        <v>110319.79999999996</v>
      </c>
      <c r="O32" s="27">
        <v>6.3593188241798715E-2</v>
      </c>
      <c r="P32" s="115">
        <v>146178.76000000004</v>
      </c>
      <c r="Q32" s="104">
        <f t="shared" si="1"/>
        <v>6.397780188658736E-2</v>
      </c>
      <c r="R32" s="38"/>
      <c r="S32" s="36">
        <v>88685.93</v>
      </c>
      <c r="T32" s="27">
        <v>2.2032085495072674E-2</v>
      </c>
      <c r="U32" s="36">
        <v>86393.23</v>
      </c>
      <c r="V32" s="27">
        <v>2.2645230472593716E-2</v>
      </c>
      <c r="W32" s="36">
        <v>3602.8900000000003</v>
      </c>
      <c r="X32" s="27">
        <v>1.2916044249732589E-3</v>
      </c>
      <c r="Y32" s="36">
        <v>5256.4100000000008</v>
      </c>
      <c r="Z32" s="27">
        <v>3.030026075156711E-3</v>
      </c>
      <c r="AA32" s="115">
        <v>18075.740000000002</v>
      </c>
      <c r="AB32" s="104">
        <f t="shared" si="2"/>
        <v>7.9111774697874192E-3</v>
      </c>
      <c r="AC32" s="214" t="str">
        <f t="shared" si="0"/>
        <v>OK</v>
      </c>
      <c r="AD32" t="s">
        <v>15</v>
      </c>
      <c r="AE32">
        <v>2284835.6100000008</v>
      </c>
      <c r="AF32">
        <v>146178.76000000004</v>
      </c>
      <c r="AG32">
        <v>18075.740000000002</v>
      </c>
    </row>
    <row r="33" spans="1:33" x14ac:dyDescent="0.25">
      <c r="A33" s="17" t="s">
        <v>16</v>
      </c>
      <c r="B33" s="36">
        <v>123321</v>
      </c>
      <c r="C33" s="36">
        <v>84152</v>
      </c>
      <c r="D33" s="36">
        <v>67073.19</v>
      </c>
      <c r="E33" s="36">
        <v>135402.54000000004</v>
      </c>
      <c r="F33" s="115">
        <v>140587.91000000003</v>
      </c>
      <c r="G33" s="38"/>
      <c r="H33" s="36">
        <v>4648.42</v>
      </c>
      <c r="I33" s="27">
        <v>3.7693661258017694E-2</v>
      </c>
      <c r="J33" s="36"/>
      <c r="K33" s="27">
        <v>0</v>
      </c>
      <c r="L33" s="36">
        <v>0</v>
      </c>
      <c r="M33" s="27">
        <v>0</v>
      </c>
      <c r="N33" s="36">
        <v>4286.08</v>
      </c>
      <c r="O33" s="27">
        <v>3.1654354489952692E-2</v>
      </c>
      <c r="P33" s="115">
        <v>26700.950000000004</v>
      </c>
      <c r="Q33" s="104">
        <f t="shared" si="1"/>
        <v>0.18992351476026637</v>
      </c>
      <c r="R33" s="38"/>
      <c r="S33" s="36">
        <v>0</v>
      </c>
      <c r="T33" s="27">
        <v>0</v>
      </c>
      <c r="U33" s="36">
        <v>0</v>
      </c>
      <c r="V33" s="27">
        <v>0</v>
      </c>
      <c r="W33" s="36">
        <v>0</v>
      </c>
      <c r="X33" s="27">
        <v>0</v>
      </c>
      <c r="Y33" s="36">
        <v>0</v>
      </c>
      <c r="Z33" s="27">
        <v>0</v>
      </c>
      <c r="AA33" s="115">
        <v>0</v>
      </c>
      <c r="AB33" s="104">
        <f t="shared" si="2"/>
        <v>0</v>
      </c>
      <c r="AC33" s="214" t="str">
        <f t="shared" si="0"/>
        <v>OK</v>
      </c>
      <c r="AD33" t="s">
        <v>16</v>
      </c>
      <c r="AE33">
        <v>140587.91000000003</v>
      </c>
      <c r="AF33">
        <v>26700.950000000004</v>
      </c>
      <c r="AG33">
        <v>0</v>
      </c>
    </row>
    <row r="34" spans="1:33" x14ac:dyDescent="0.25">
      <c r="A34" s="17" t="s">
        <v>17</v>
      </c>
      <c r="B34" s="36">
        <v>2612289</v>
      </c>
      <c r="C34" s="36">
        <v>2989102</v>
      </c>
      <c r="D34" s="36">
        <v>3852689.1399999978</v>
      </c>
      <c r="E34" s="36">
        <v>4579211.5699999984</v>
      </c>
      <c r="F34" s="115">
        <v>4963777.6899999734</v>
      </c>
      <c r="G34" s="38"/>
      <c r="H34" s="36">
        <v>387549.95</v>
      </c>
      <c r="I34" s="27">
        <v>0.14835646056006821</v>
      </c>
      <c r="J34" s="36">
        <v>380807.23999999993</v>
      </c>
      <c r="K34" s="27">
        <v>0.12739854310759549</v>
      </c>
      <c r="L34" s="36">
        <v>516134.44999999937</v>
      </c>
      <c r="M34" s="27">
        <v>0.13396732288657986</v>
      </c>
      <c r="N34" s="36">
        <v>809474.5399999998</v>
      </c>
      <c r="O34" s="27">
        <v>0.17677159651306526</v>
      </c>
      <c r="P34" s="115">
        <v>914652.3</v>
      </c>
      <c r="Q34" s="104">
        <f t="shared" si="1"/>
        <v>0.18426536342323682</v>
      </c>
      <c r="R34" s="38"/>
      <c r="S34" s="36">
        <v>47635.51</v>
      </c>
      <c r="T34" s="27">
        <v>1.8235160811074121E-2</v>
      </c>
      <c r="U34" s="36">
        <v>9819.2499999999982</v>
      </c>
      <c r="V34" s="27">
        <v>3.2850167040134456E-3</v>
      </c>
      <c r="W34" s="36">
        <v>56014.119999999995</v>
      </c>
      <c r="X34" s="27">
        <v>1.4538966930511302E-2</v>
      </c>
      <c r="Y34" s="36">
        <v>66522.86</v>
      </c>
      <c r="Z34" s="27">
        <v>1.4527142715094079E-2</v>
      </c>
      <c r="AA34" s="115">
        <v>44720.78</v>
      </c>
      <c r="AB34" s="104">
        <f t="shared" si="2"/>
        <v>9.0094244329463995E-3</v>
      </c>
      <c r="AC34" s="214" t="str">
        <f t="shared" si="0"/>
        <v>OK</v>
      </c>
      <c r="AD34" t="s">
        <v>17</v>
      </c>
      <c r="AE34">
        <v>4963777.6899999734</v>
      </c>
      <c r="AF34">
        <v>914652.3</v>
      </c>
      <c r="AG34">
        <v>44720.78</v>
      </c>
    </row>
    <row r="35" spans="1:33" x14ac:dyDescent="0.25">
      <c r="A35" s="17" t="s">
        <v>18</v>
      </c>
      <c r="B35" s="36">
        <v>25937120</v>
      </c>
      <c r="C35" s="36">
        <v>27162908</v>
      </c>
      <c r="D35" s="36">
        <v>29128210.77000057</v>
      </c>
      <c r="E35" s="36">
        <v>30914716.870000072</v>
      </c>
      <c r="F35" s="115">
        <v>31973698.249999803</v>
      </c>
      <c r="G35" s="38"/>
      <c r="H35" s="36">
        <v>4044778.62</v>
      </c>
      <c r="I35" s="27">
        <v>0.15594555679273567</v>
      </c>
      <c r="J35" s="36">
        <v>4402732.1699999692</v>
      </c>
      <c r="K35" s="27">
        <v>0.16208618642746089</v>
      </c>
      <c r="L35" s="36">
        <v>4451623.3199999947</v>
      </c>
      <c r="M35" s="27">
        <v>0.15282858789887518</v>
      </c>
      <c r="N35" s="36">
        <v>5084097.7699999958</v>
      </c>
      <c r="O35" s="27">
        <v>0.16445558247805436</v>
      </c>
      <c r="P35" s="115">
        <v>4908231.4599999757</v>
      </c>
      <c r="Q35" s="104">
        <f t="shared" si="1"/>
        <v>0.15350840624137077</v>
      </c>
      <c r="R35" s="38"/>
      <c r="S35" s="36">
        <v>512381.29</v>
      </c>
      <c r="T35" s="27">
        <v>1.9754748792464236E-2</v>
      </c>
      <c r="U35" s="36">
        <v>436813.40000000008</v>
      </c>
      <c r="V35" s="27">
        <v>1.608124579297622E-2</v>
      </c>
      <c r="W35" s="36">
        <v>382787.03000000009</v>
      </c>
      <c r="X35" s="27">
        <v>1.3141453590216266E-2</v>
      </c>
      <c r="Y35" s="36">
        <v>526875.91999999993</v>
      </c>
      <c r="Z35" s="27">
        <v>1.7042883563047773E-2</v>
      </c>
      <c r="AA35" s="115">
        <v>433525.55000000034</v>
      </c>
      <c r="AB35" s="104">
        <f t="shared" si="2"/>
        <v>1.3558817832403952E-2</v>
      </c>
      <c r="AC35" s="214" t="str">
        <f t="shared" si="0"/>
        <v>OK</v>
      </c>
      <c r="AD35" t="s">
        <v>18</v>
      </c>
      <c r="AE35">
        <v>31973698.249999803</v>
      </c>
      <c r="AF35">
        <v>4908231.4599999757</v>
      </c>
      <c r="AG35">
        <v>433525.55000000034</v>
      </c>
    </row>
    <row r="36" spans="1:33" x14ac:dyDescent="0.25">
      <c r="A36" s="17" t="s">
        <v>19</v>
      </c>
      <c r="B36" s="36">
        <v>1587821</v>
      </c>
      <c r="C36" s="36">
        <v>1685951</v>
      </c>
      <c r="D36" s="36">
        <v>1745790.7099999974</v>
      </c>
      <c r="E36" s="36">
        <v>1967840.2399999986</v>
      </c>
      <c r="F36" s="115">
        <v>1908678.9900000002</v>
      </c>
      <c r="G36" s="38"/>
      <c r="H36" s="36">
        <v>267467.71000000002</v>
      </c>
      <c r="I36" s="27">
        <v>0.16844953555847922</v>
      </c>
      <c r="J36" s="36">
        <v>85197.28</v>
      </c>
      <c r="K36" s="27">
        <v>5.0533663196617222E-2</v>
      </c>
      <c r="L36" s="36">
        <v>227496.61</v>
      </c>
      <c r="M36" s="27">
        <v>0.1303115022304136</v>
      </c>
      <c r="N36" s="36">
        <v>164872.46000000002</v>
      </c>
      <c r="O36" s="27">
        <v>8.3783457949818188E-2</v>
      </c>
      <c r="P36" s="115">
        <v>151783.35000000003</v>
      </c>
      <c r="Q36" s="104">
        <f t="shared" si="1"/>
        <v>7.9522722676378402E-2</v>
      </c>
      <c r="R36" s="38"/>
      <c r="S36" s="36">
        <v>26682.51</v>
      </c>
      <c r="T36" s="27">
        <v>1.6804482369234316E-2</v>
      </c>
      <c r="U36" s="36">
        <v>3247.07</v>
      </c>
      <c r="V36" s="27">
        <v>1.9259575159657667E-3</v>
      </c>
      <c r="W36" s="36">
        <v>47624.59</v>
      </c>
      <c r="X36" s="27">
        <v>2.727966744650627E-2</v>
      </c>
      <c r="Y36" s="36">
        <v>31173.090000000004</v>
      </c>
      <c r="Z36" s="27">
        <v>1.5841270732424917E-2</v>
      </c>
      <c r="AA36" s="115">
        <v>9832.7999999999993</v>
      </c>
      <c r="AB36" s="104">
        <f t="shared" si="2"/>
        <v>5.1516258373022683E-3</v>
      </c>
      <c r="AC36" s="214" t="str">
        <f t="shared" si="0"/>
        <v>OK</v>
      </c>
      <c r="AD36" t="s">
        <v>19</v>
      </c>
      <c r="AE36">
        <v>1908678.9900000002</v>
      </c>
      <c r="AF36">
        <v>151783.35000000003</v>
      </c>
      <c r="AG36">
        <v>9832.7999999999993</v>
      </c>
    </row>
    <row r="37" spans="1:33" x14ac:dyDescent="0.25">
      <c r="A37" s="17" t="s">
        <v>31</v>
      </c>
      <c r="B37" s="36"/>
      <c r="C37" s="36">
        <v>0</v>
      </c>
      <c r="D37" s="36">
        <v>0</v>
      </c>
      <c r="E37" s="36">
        <v>0</v>
      </c>
      <c r="F37" s="115">
        <v>0</v>
      </c>
      <c r="G37" s="38"/>
      <c r="H37" s="36"/>
      <c r="I37" s="27"/>
      <c r="J37" s="36"/>
      <c r="K37" s="27"/>
      <c r="L37" s="36"/>
      <c r="M37" s="27"/>
      <c r="N37" s="36"/>
      <c r="O37" s="27"/>
      <c r="P37" s="115"/>
      <c r="Q37" s="104"/>
      <c r="R37" s="38"/>
      <c r="S37" s="36"/>
      <c r="T37" s="27"/>
      <c r="U37" s="36"/>
      <c r="V37" s="27"/>
      <c r="W37" s="36"/>
      <c r="X37" s="27"/>
      <c r="Y37" s="36"/>
      <c r="Z37" s="27"/>
      <c r="AA37" s="115">
        <v>0</v>
      </c>
      <c r="AB37" s="104"/>
      <c r="AC37" s="214" t="str">
        <f t="shared" si="0"/>
        <v>OK</v>
      </c>
      <c r="AD37" t="s">
        <v>31</v>
      </c>
      <c r="AE37">
        <v>0</v>
      </c>
      <c r="AG37">
        <v>0</v>
      </c>
    </row>
    <row r="38" spans="1:33" x14ac:dyDescent="0.25">
      <c r="A38" s="17" t="s">
        <v>20</v>
      </c>
      <c r="B38" s="36">
        <v>2750</v>
      </c>
      <c r="C38" s="36">
        <v>9950</v>
      </c>
      <c r="D38" s="36">
        <v>500</v>
      </c>
      <c r="E38" s="36">
        <v>9486.02</v>
      </c>
      <c r="F38" s="115">
        <v>122246.97</v>
      </c>
      <c r="G38" s="38"/>
      <c r="H38" s="36"/>
      <c r="I38" s="27">
        <v>0</v>
      </c>
      <c r="J38" s="36">
        <v>0</v>
      </c>
      <c r="K38" s="27">
        <v>0</v>
      </c>
      <c r="L38" s="36">
        <v>0</v>
      </c>
      <c r="M38" s="27">
        <v>0</v>
      </c>
      <c r="N38" s="36">
        <v>43.29</v>
      </c>
      <c r="O38" s="27">
        <v>4.5635577407595598E-3</v>
      </c>
      <c r="P38" s="115">
        <v>44023.92</v>
      </c>
      <c r="Q38" s="104">
        <f t="shared" si="1"/>
        <v>0.36012279077346454</v>
      </c>
      <c r="R38" s="38"/>
      <c r="S38" s="36">
        <v>0</v>
      </c>
      <c r="T38" s="27">
        <v>0</v>
      </c>
      <c r="U38" s="36">
        <v>0</v>
      </c>
      <c r="V38" s="27">
        <v>0</v>
      </c>
      <c r="W38" s="36">
        <v>0</v>
      </c>
      <c r="X38" s="27">
        <v>0</v>
      </c>
      <c r="Y38" s="36">
        <v>0</v>
      </c>
      <c r="Z38" s="27">
        <v>0</v>
      </c>
      <c r="AA38" s="115">
        <v>8190.59</v>
      </c>
      <c r="AB38" s="104">
        <f t="shared" si="2"/>
        <v>6.7000351828761073E-2</v>
      </c>
      <c r="AC38" s="214" t="str">
        <f t="shared" si="0"/>
        <v>OK</v>
      </c>
      <c r="AD38" t="s">
        <v>20</v>
      </c>
      <c r="AE38">
        <v>122246.97</v>
      </c>
      <c r="AF38">
        <v>44023.92</v>
      </c>
      <c r="AG38">
        <v>8190.59</v>
      </c>
    </row>
    <row r="39" spans="1:33" x14ac:dyDescent="0.25">
      <c r="A39" s="17" t="s">
        <v>27</v>
      </c>
      <c r="B39" s="36"/>
      <c r="C39" s="36">
        <v>0</v>
      </c>
      <c r="D39" s="36">
        <v>0</v>
      </c>
      <c r="E39" s="36">
        <v>0</v>
      </c>
      <c r="F39" s="115">
        <v>0</v>
      </c>
      <c r="G39" s="38"/>
      <c r="H39" s="36"/>
      <c r="I39" s="27"/>
      <c r="J39" s="36"/>
      <c r="K39" s="27"/>
      <c r="L39" s="36"/>
      <c r="M39" s="27"/>
      <c r="N39" s="36"/>
      <c r="O39" s="27"/>
      <c r="P39" s="115"/>
      <c r="Q39" s="104"/>
      <c r="R39" s="38"/>
      <c r="S39" s="36"/>
      <c r="T39" s="27"/>
      <c r="U39" s="36"/>
      <c r="V39" s="27"/>
      <c r="W39" s="36"/>
      <c r="X39" s="27"/>
      <c r="Y39" s="36"/>
      <c r="Z39" s="27"/>
      <c r="AA39" s="115"/>
      <c r="AB39" s="104"/>
      <c r="AC39" s="214" t="str">
        <f t="shared" si="0"/>
        <v>OK</v>
      </c>
      <c r="AD39" t="s">
        <v>27</v>
      </c>
      <c r="AE39">
        <v>0</v>
      </c>
    </row>
    <row r="40" spans="1:33" x14ac:dyDescent="0.25">
      <c r="A40" s="17" t="s">
        <v>32</v>
      </c>
      <c r="B40" s="36"/>
      <c r="C40" s="36">
        <v>0</v>
      </c>
      <c r="D40" s="36">
        <v>0</v>
      </c>
      <c r="E40" s="36">
        <v>0</v>
      </c>
      <c r="F40" s="115">
        <v>0</v>
      </c>
      <c r="G40" s="38"/>
      <c r="H40" s="36"/>
      <c r="I40" s="27"/>
      <c r="J40" s="36"/>
      <c r="K40" s="27"/>
      <c r="L40" s="36"/>
      <c r="M40" s="27"/>
      <c r="N40" s="36"/>
      <c r="O40" s="27"/>
      <c r="P40" s="115"/>
      <c r="Q40" s="104"/>
      <c r="R40" s="38"/>
      <c r="S40" s="36"/>
      <c r="T40" s="27"/>
      <c r="U40" s="36"/>
      <c r="V40" s="27"/>
      <c r="W40" s="36"/>
      <c r="X40" s="27"/>
      <c r="Y40" s="36"/>
      <c r="Z40" s="27"/>
      <c r="AA40" s="115">
        <v>0</v>
      </c>
      <c r="AB40" s="104"/>
      <c r="AC40" s="214" t="str">
        <f t="shared" si="0"/>
        <v>OK</v>
      </c>
      <c r="AD40" t="s">
        <v>32</v>
      </c>
      <c r="AE40">
        <v>0</v>
      </c>
      <c r="AG40">
        <v>0</v>
      </c>
    </row>
    <row r="41" spans="1:33" x14ac:dyDescent="0.25">
      <c r="A41" s="17" t="s">
        <v>21</v>
      </c>
      <c r="B41" s="36">
        <v>509411</v>
      </c>
      <c r="C41" s="36">
        <v>445570</v>
      </c>
      <c r="D41" s="36">
        <v>363646.53000000014</v>
      </c>
      <c r="E41" s="36">
        <v>298823.52000000008</v>
      </c>
      <c r="F41" s="115">
        <v>412728.96999999991</v>
      </c>
      <c r="G41" s="38"/>
      <c r="H41" s="36">
        <v>121163.95</v>
      </c>
      <c r="I41" s="27">
        <v>0.23785106721291843</v>
      </c>
      <c r="J41" s="36">
        <v>96070.149999999951</v>
      </c>
      <c r="K41" s="27">
        <v>0.21561180061494253</v>
      </c>
      <c r="L41" s="36">
        <v>13947.730000000001</v>
      </c>
      <c r="M41" s="27">
        <v>3.8355185184910184E-2</v>
      </c>
      <c r="N41" s="36">
        <v>37006.04</v>
      </c>
      <c r="O41" s="27">
        <v>0.12383911413666499</v>
      </c>
      <c r="P41" s="115">
        <v>28145.040000000005</v>
      </c>
      <c r="Q41" s="104">
        <f t="shared" si="1"/>
        <v>6.8192547763245237E-2</v>
      </c>
      <c r="R41" s="38"/>
      <c r="S41" s="36">
        <v>23155.920000000002</v>
      </c>
      <c r="T41" s="27">
        <v>4.5456262232264323E-2</v>
      </c>
      <c r="U41" s="36">
        <v>0</v>
      </c>
      <c r="V41" s="27">
        <v>0</v>
      </c>
      <c r="W41" s="36">
        <v>0</v>
      </c>
      <c r="X41" s="27">
        <v>0</v>
      </c>
      <c r="Y41" s="36">
        <v>0</v>
      </c>
      <c r="Z41" s="27">
        <v>0</v>
      </c>
      <c r="AA41" s="115">
        <v>0</v>
      </c>
      <c r="AB41" s="104">
        <f t="shared" si="2"/>
        <v>0</v>
      </c>
      <c r="AC41" s="214" t="str">
        <f t="shared" si="0"/>
        <v>OK</v>
      </c>
      <c r="AD41" t="s">
        <v>21</v>
      </c>
      <c r="AE41">
        <v>412728.96999999991</v>
      </c>
      <c r="AF41">
        <v>28145.040000000005</v>
      </c>
      <c r="AG41">
        <v>0</v>
      </c>
    </row>
    <row r="42" spans="1:33" x14ac:dyDescent="0.25">
      <c r="A42" s="17" t="s">
        <v>43</v>
      </c>
      <c r="B42" s="36">
        <v>2893862.16</v>
      </c>
      <c r="C42" s="36">
        <v>2691207</v>
      </c>
      <c r="D42" s="36">
        <v>2855943.9400000069</v>
      </c>
      <c r="E42" s="36">
        <v>3169472.7000000039</v>
      </c>
      <c r="F42" s="115">
        <v>3542478.1899999753</v>
      </c>
      <c r="G42" s="38"/>
      <c r="H42" s="36">
        <v>540097.01</v>
      </c>
      <c r="I42" s="27">
        <v>0.18663536137464129</v>
      </c>
      <c r="J42" s="36">
        <v>344500.39000000025</v>
      </c>
      <c r="K42" s="27">
        <v>0.12800962170505659</v>
      </c>
      <c r="L42" s="36">
        <v>367136.92000000027</v>
      </c>
      <c r="M42" s="27">
        <v>0.12855186506216904</v>
      </c>
      <c r="N42" s="36">
        <v>314403.7</v>
      </c>
      <c r="O42" s="27">
        <v>9.9197478495397548E-2</v>
      </c>
      <c r="P42" s="115">
        <v>718961.35000000044</v>
      </c>
      <c r="Q42" s="104">
        <f t="shared" si="1"/>
        <v>0.20295434761731179</v>
      </c>
      <c r="R42" s="38"/>
      <c r="S42" s="36">
        <v>93034.6</v>
      </c>
      <c r="T42" s="27">
        <v>3.2148939671680837E-2</v>
      </c>
      <c r="U42" s="36">
        <v>63538.92</v>
      </c>
      <c r="V42" s="27">
        <v>2.360982265578233E-2</v>
      </c>
      <c r="W42" s="36">
        <v>43155.790000000008</v>
      </c>
      <c r="X42" s="27">
        <v>1.5110867337262896E-2</v>
      </c>
      <c r="Y42" s="36">
        <v>32877.5</v>
      </c>
      <c r="Z42" s="27">
        <v>1.0373176585493214E-2</v>
      </c>
      <c r="AA42" s="115">
        <v>283857.43000000011</v>
      </c>
      <c r="AB42" s="104">
        <f t="shared" si="2"/>
        <v>8.0129619654765491E-2</v>
      </c>
      <c r="AC42" s="214" t="str">
        <f t="shared" si="0"/>
        <v>OK</v>
      </c>
      <c r="AD42" t="s">
        <v>43</v>
      </c>
      <c r="AE42">
        <v>3542478.1899999753</v>
      </c>
      <c r="AF42">
        <v>718961.35000000044</v>
      </c>
      <c r="AG42">
        <v>283857.43000000011</v>
      </c>
    </row>
    <row r="43" spans="1:33" x14ac:dyDescent="0.25">
      <c r="A43" s="17" t="s">
        <v>44</v>
      </c>
      <c r="B43" s="36">
        <v>1729819</v>
      </c>
      <c r="C43" s="36">
        <v>1726937</v>
      </c>
      <c r="D43" s="36">
        <v>1632715.7500000005</v>
      </c>
      <c r="E43" s="36">
        <v>2922426.4799999986</v>
      </c>
      <c r="F43" s="115">
        <v>2729376.870000001</v>
      </c>
      <c r="G43" s="38"/>
      <c r="H43" s="36">
        <v>132449.53</v>
      </c>
      <c r="I43" s="27">
        <v>7.656843288228421E-2</v>
      </c>
      <c r="J43" s="36">
        <v>133408.38</v>
      </c>
      <c r="K43" s="27">
        <v>7.7251445767853727E-2</v>
      </c>
      <c r="L43" s="36">
        <v>272407.06999999989</v>
      </c>
      <c r="M43" s="27">
        <v>0.16684292412809751</v>
      </c>
      <c r="N43" s="36">
        <v>603389.0900000002</v>
      </c>
      <c r="O43" s="27">
        <v>0.2064685267976358</v>
      </c>
      <c r="P43" s="115">
        <v>252808.31</v>
      </c>
      <c r="Q43" s="104">
        <f t="shared" si="1"/>
        <v>9.2624918448876534E-2</v>
      </c>
      <c r="R43" s="38"/>
      <c r="S43" s="36">
        <v>10835.22</v>
      </c>
      <c r="T43" s="27">
        <v>6.2637882923011019E-3</v>
      </c>
      <c r="U43" s="36">
        <v>21485.930000000004</v>
      </c>
      <c r="V43" s="27">
        <v>1.2441640893674758E-2</v>
      </c>
      <c r="W43" s="36">
        <v>32056.890000000003</v>
      </c>
      <c r="X43" s="27">
        <v>1.9634091237253022E-2</v>
      </c>
      <c r="Y43" s="36">
        <v>37472.729999999996</v>
      </c>
      <c r="Z43" s="27">
        <v>1.2822471414233837E-2</v>
      </c>
      <c r="AA43" s="115">
        <v>12459.540000000005</v>
      </c>
      <c r="AB43" s="104">
        <f t="shared" si="2"/>
        <v>4.5649760342550277E-3</v>
      </c>
      <c r="AC43" s="214" t="str">
        <f t="shared" si="0"/>
        <v>OK</v>
      </c>
      <c r="AD43" t="s">
        <v>44</v>
      </c>
      <c r="AE43">
        <v>2729376.870000001</v>
      </c>
      <c r="AF43">
        <v>252808.31</v>
      </c>
      <c r="AG43">
        <v>12459.540000000005</v>
      </c>
    </row>
    <row r="44" spans="1:33" x14ac:dyDescent="0.25">
      <c r="A44" s="17" t="s">
        <v>35</v>
      </c>
      <c r="B44" s="36"/>
      <c r="C44" s="36">
        <v>0</v>
      </c>
      <c r="D44" s="36">
        <v>0</v>
      </c>
      <c r="E44" s="36">
        <v>0</v>
      </c>
      <c r="F44" s="115">
        <v>0</v>
      </c>
      <c r="G44" s="38"/>
      <c r="H44" s="36"/>
      <c r="I44" s="27"/>
      <c r="J44" s="36"/>
      <c r="K44" s="27"/>
      <c r="L44" s="36"/>
      <c r="M44" s="27"/>
      <c r="N44" s="36"/>
      <c r="O44" s="27"/>
      <c r="P44" s="115"/>
      <c r="Q44" s="104"/>
      <c r="R44" s="38"/>
      <c r="S44" s="36"/>
      <c r="T44" s="27"/>
      <c r="U44" s="36"/>
      <c r="V44" s="27"/>
      <c r="W44" s="36"/>
      <c r="X44" s="27"/>
      <c r="Y44" s="36"/>
      <c r="Z44" s="27"/>
      <c r="AA44" s="115">
        <v>0</v>
      </c>
      <c r="AB44" s="104"/>
      <c r="AC44" s="214" t="str">
        <f t="shared" si="0"/>
        <v>OK</v>
      </c>
      <c r="AD44" t="s">
        <v>35</v>
      </c>
      <c r="AE44">
        <v>0</v>
      </c>
      <c r="AG44">
        <v>0</v>
      </c>
    </row>
    <row r="45" spans="1:33" x14ac:dyDescent="0.25">
      <c r="A45" s="17" t="s">
        <v>36</v>
      </c>
      <c r="B45" s="36"/>
      <c r="C45" s="36">
        <v>0</v>
      </c>
      <c r="D45" s="36">
        <v>0</v>
      </c>
      <c r="E45" s="36">
        <v>0</v>
      </c>
      <c r="F45" s="115">
        <v>0</v>
      </c>
      <c r="G45" s="38"/>
      <c r="H45" s="36"/>
      <c r="I45" s="27"/>
      <c r="J45" s="36"/>
      <c r="K45" s="27"/>
      <c r="L45" s="36"/>
      <c r="M45" s="27"/>
      <c r="N45" s="36"/>
      <c r="O45" s="27"/>
      <c r="P45" s="115"/>
      <c r="Q45" s="104"/>
      <c r="R45" s="38"/>
      <c r="S45" s="36"/>
      <c r="T45" s="27"/>
      <c r="U45" s="36"/>
      <c r="V45" s="27"/>
      <c r="W45" s="36"/>
      <c r="X45" s="27"/>
      <c r="Y45" s="36"/>
      <c r="Z45" s="27"/>
      <c r="AA45" s="115">
        <v>0</v>
      </c>
      <c r="AB45" s="104"/>
      <c r="AC45" s="214" t="str">
        <f t="shared" si="0"/>
        <v>OK</v>
      </c>
      <c r="AD45" t="s">
        <v>36</v>
      </c>
      <c r="AE45">
        <v>0</v>
      </c>
      <c r="AG45">
        <v>0</v>
      </c>
    </row>
    <row r="46" spans="1:33" x14ac:dyDescent="0.25">
      <c r="A46" s="17" t="s">
        <v>37</v>
      </c>
      <c r="B46" s="36"/>
      <c r="C46" s="36">
        <v>0</v>
      </c>
      <c r="D46" s="36">
        <v>0</v>
      </c>
      <c r="E46" s="36">
        <v>0</v>
      </c>
      <c r="F46" s="115">
        <v>0</v>
      </c>
      <c r="G46" s="38"/>
      <c r="H46" s="36"/>
      <c r="I46" s="27"/>
      <c r="J46" s="36"/>
      <c r="K46" s="27"/>
      <c r="L46" s="36">
        <v>0</v>
      </c>
      <c r="M46" s="27"/>
      <c r="N46" s="36"/>
      <c r="O46" s="27"/>
      <c r="P46" s="115">
        <v>0</v>
      </c>
      <c r="Q46" s="104"/>
      <c r="R46" s="38"/>
      <c r="S46" s="36"/>
      <c r="T46" s="27"/>
      <c r="U46" s="36"/>
      <c r="V46" s="27"/>
      <c r="W46" s="36"/>
      <c r="X46" s="27"/>
      <c r="Y46" s="36"/>
      <c r="Z46" s="27"/>
      <c r="AA46" s="115">
        <v>0</v>
      </c>
      <c r="AB46" s="104"/>
      <c r="AC46" s="214" t="str">
        <f t="shared" si="0"/>
        <v>OK</v>
      </c>
      <c r="AD46" t="s">
        <v>37</v>
      </c>
      <c r="AE46">
        <v>0</v>
      </c>
      <c r="AF46">
        <v>0</v>
      </c>
      <c r="AG46">
        <v>0</v>
      </c>
    </row>
    <row r="47" spans="1:33" x14ac:dyDescent="0.25">
      <c r="A47" s="17" t="s">
        <v>38</v>
      </c>
      <c r="B47" s="36">
        <v>264209</v>
      </c>
      <c r="C47" s="36">
        <v>269994</v>
      </c>
      <c r="D47" s="36">
        <v>308006.76</v>
      </c>
      <c r="E47" s="36">
        <v>82082.85000000002</v>
      </c>
      <c r="F47" s="115">
        <v>58661.789999999928</v>
      </c>
      <c r="G47" s="38"/>
      <c r="H47" s="36">
        <v>11079.2</v>
      </c>
      <c r="I47" s="27">
        <v>4.1933469336775053E-2</v>
      </c>
      <c r="J47" s="36">
        <v>16109.92</v>
      </c>
      <c r="K47" s="27">
        <v>5.9667696319177461E-2</v>
      </c>
      <c r="L47" s="36">
        <v>41006.01999999999</v>
      </c>
      <c r="M47" s="27">
        <v>0.13313350655031075</v>
      </c>
      <c r="N47" s="36">
        <v>3300.4900000000002</v>
      </c>
      <c r="O47" s="27">
        <v>4.020925199356503E-2</v>
      </c>
      <c r="P47" s="115">
        <v>1893.58</v>
      </c>
      <c r="Q47" s="104">
        <f t="shared" si="1"/>
        <v>3.227961506118382E-2</v>
      </c>
      <c r="R47" s="38"/>
      <c r="S47" s="36">
        <v>0</v>
      </c>
      <c r="T47" s="27">
        <v>0</v>
      </c>
      <c r="U47" s="36">
        <v>0</v>
      </c>
      <c r="V47" s="27">
        <v>0</v>
      </c>
      <c r="W47" s="36">
        <v>779.95</v>
      </c>
      <c r="X47" s="27">
        <v>2.5322496168590585E-3</v>
      </c>
      <c r="Y47" s="36">
        <v>0</v>
      </c>
      <c r="Z47" s="27">
        <v>0</v>
      </c>
      <c r="AA47" s="115">
        <v>0</v>
      </c>
      <c r="AB47" s="104">
        <f t="shared" si="2"/>
        <v>0</v>
      </c>
      <c r="AC47" s="214" t="str">
        <f t="shared" si="0"/>
        <v>OK</v>
      </c>
      <c r="AD47" t="s">
        <v>38</v>
      </c>
      <c r="AE47">
        <v>58661.789999999928</v>
      </c>
      <c r="AF47">
        <v>1893.58</v>
      </c>
      <c r="AG47">
        <v>0</v>
      </c>
    </row>
    <row r="48" spans="1:33" x14ac:dyDescent="0.25">
      <c r="A48" s="17" t="s">
        <v>39</v>
      </c>
      <c r="B48" s="36"/>
      <c r="C48" s="36">
        <v>0</v>
      </c>
      <c r="D48" s="36">
        <v>0</v>
      </c>
      <c r="E48" s="36">
        <v>0</v>
      </c>
      <c r="F48" s="115">
        <v>0</v>
      </c>
      <c r="G48" s="38"/>
      <c r="H48" s="36"/>
      <c r="I48" s="27"/>
      <c r="J48" s="36"/>
      <c r="K48" s="27"/>
      <c r="L48" s="36">
        <v>0</v>
      </c>
      <c r="M48" s="27"/>
      <c r="N48" s="36"/>
      <c r="O48" s="27"/>
      <c r="P48" s="115">
        <v>0</v>
      </c>
      <c r="Q48" s="104"/>
      <c r="R48" s="38"/>
      <c r="S48" s="36"/>
      <c r="T48" s="27"/>
      <c r="U48" s="36"/>
      <c r="V48" s="27"/>
      <c r="W48" s="36"/>
      <c r="X48" s="27"/>
      <c r="Y48" s="36"/>
      <c r="Z48" s="27"/>
      <c r="AA48" s="115">
        <v>0</v>
      </c>
      <c r="AB48" s="104"/>
      <c r="AC48" s="214" t="str">
        <f t="shared" si="0"/>
        <v>OK</v>
      </c>
      <c r="AD48" t="s">
        <v>39</v>
      </c>
      <c r="AE48">
        <v>0</v>
      </c>
      <c r="AF48">
        <v>0</v>
      </c>
      <c r="AG48">
        <v>0</v>
      </c>
    </row>
    <row r="49" spans="1:33" x14ac:dyDescent="0.25">
      <c r="A49" s="17" t="s">
        <v>40</v>
      </c>
      <c r="B49" s="36">
        <v>67031</v>
      </c>
      <c r="C49" s="36">
        <v>21870</v>
      </c>
      <c r="D49" s="36">
        <v>160293.47999999998</v>
      </c>
      <c r="E49" s="36">
        <v>146896.83000000007</v>
      </c>
      <c r="F49" s="115">
        <v>47258.599999999991</v>
      </c>
      <c r="G49" s="38"/>
      <c r="H49" s="36"/>
      <c r="I49" s="27">
        <v>0</v>
      </c>
      <c r="J49" s="36"/>
      <c r="K49" s="27">
        <v>0</v>
      </c>
      <c r="L49" s="36">
        <v>28077.470000000005</v>
      </c>
      <c r="M49" s="27">
        <v>0.17516289495991982</v>
      </c>
      <c r="N49" s="36">
        <v>1463.2299999999998</v>
      </c>
      <c r="O49" s="27">
        <v>9.9609365293995729E-3</v>
      </c>
      <c r="P49" s="115">
        <v>1179.74</v>
      </c>
      <c r="Q49" s="104">
        <f t="shared" si="1"/>
        <v>2.4963498707113632E-2</v>
      </c>
      <c r="R49" s="38"/>
      <c r="S49" s="36">
        <v>0</v>
      </c>
      <c r="T49" s="27">
        <v>0</v>
      </c>
      <c r="U49" s="36">
        <v>0</v>
      </c>
      <c r="V49" s="27">
        <v>0</v>
      </c>
      <c r="W49" s="36">
        <v>0</v>
      </c>
      <c r="X49" s="27">
        <v>0</v>
      </c>
      <c r="Y49" s="36">
        <v>1463.2299999999998</v>
      </c>
      <c r="Z49" s="27">
        <v>9.9609365293995729E-3</v>
      </c>
      <c r="AA49" s="115">
        <v>0</v>
      </c>
      <c r="AB49" s="104">
        <f t="shared" si="2"/>
        <v>0</v>
      </c>
      <c r="AC49" s="214" t="str">
        <f t="shared" si="0"/>
        <v>OK</v>
      </c>
      <c r="AD49" t="s">
        <v>40</v>
      </c>
      <c r="AE49">
        <v>47258.599999999991</v>
      </c>
      <c r="AF49">
        <v>1179.74</v>
      </c>
      <c r="AG49">
        <v>0</v>
      </c>
    </row>
    <row r="50" spans="1:33" x14ac:dyDescent="0.25">
      <c r="A50" s="17" t="s">
        <v>41</v>
      </c>
      <c r="B50" s="36">
        <v>30510</v>
      </c>
      <c r="C50" s="36">
        <v>54935</v>
      </c>
      <c r="D50" s="36">
        <v>27970.400000000001</v>
      </c>
      <c r="E50" s="36">
        <v>34646.640000000007</v>
      </c>
      <c r="F50" s="115">
        <v>44032.240000000013</v>
      </c>
      <c r="G50" s="38"/>
      <c r="H50" s="36">
        <v>436.8</v>
      </c>
      <c r="I50" s="27">
        <v>1.4316617502458211E-2</v>
      </c>
      <c r="J50" s="36">
        <v>1460</v>
      </c>
      <c r="K50" s="27">
        <v>2.6576863566032585E-2</v>
      </c>
      <c r="L50" s="36">
        <v>1126.9000000000001</v>
      </c>
      <c r="M50" s="27">
        <v>4.0289019820953578E-2</v>
      </c>
      <c r="N50" s="36">
        <v>6045.93</v>
      </c>
      <c r="O50" s="27">
        <v>0.17450263575342367</v>
      </c>
      <c r="P50" s="115">
        <v>2892.61</v>
      </c>
      <c r="Q50" s="104">
        <f t="shared" si="1"/>
        <v>6.5693001309949234E-2</v>
      </c>
      <c r="R50" s="38"/>
      <c r="S50" s="36">
        <v>0</v>
      </c>
      <c r="T50" s="27">
        <v>0</v>
      </c>
      <c r="U50" s="36">
        <v>0</v>
      </c>
      <c r="V50" s="27">
        <v>0</v>
      </c>
      <c r="W50" s="36">
        <v>300</v>
      </c>
      <c r="X50" s="27">
        <v>1.0725624231330264E-2</v>
      </c>
      <c r="Y50" s="36">
        <v>1608.4699999999996</v>
      </c>
      <c r="Z50" s="27">
        <v>4.6424992437939128E-2</v>
      </c>
      <c r="AA50" s="115">
        <v>0</v>
      </c>
      <c r="AB50" s="104">
        <f t="shared" si="2"/>
        <v>0</v>
      </c>
      <c r="AC50" s="214" t="str">
        <f t="shared" si="0"/>
        <v>OK</v>
      </c>
      <c r="AD50" t="s">
        <v>41</v>
      </c>
      <c r="AE50">
        <v>44032.240000000013</v>
      </c>
      <c r="AF50">
        <v>2892.61</v>
      </c>
      <c r="AG50">
        <v>0</v>
      </c>
    </row>
    <row r="51" spans="1:33" x14ac:dyDescent="0.25">
      <c r="A51" s="17" t="s">
        <v>42</v>
      </c>
      <c r="B51" s="36">
        <v>11091688</v>
      </c>
      <c r="C51" s="36">
        <v>12340607</v>
      </c>
      <c r="D51" s="36">
        <v>11292870.259999955</v>
      </c>
      <c r="E51" s="36">
        <v>10448105.669999979</v>
      </c>
      <c r="F51" s="115">
        <v>4961190.4899999984</v>
      </c>
      <c r="G51" s="38"/>
      <c r="H51" s="36">
        <v>1029507.03</v>
      </c>
      <c r="I51" s="27">
        <v>9.2817885789791416E-2</v>
      </c>
      <c r="J51" s="36">
        <v>879162.66999999969</v>
      </c>
      <c r="K51" s="27">
        <v>7.1241444606411963E-2</v>
      </c>
      <c r="L51" s="36">
        <v>605619.28000000014</v>
      </c>
      <c r="M51" s="27">
        <v>5.362846345141687E-2</v>
      </c>
      <c r="N51" s="36">
        <v>641031.39000000013</v>
      </c>
      <c r="O51" s="27">
        <v>6.1353838700216878E-2</v>
      </c>
      <c r="P51" s="115">
        <v>577417.90000000049</v>
      </c>
      <c r="Q51" s="104">
        <f t="shared" si="1"/>
        <v>0.11638696421027782</v>
      </c>
      <c r="R51" s="38"/>
      <c r="S51" s="36">
        <v>99213.19</v>
      </c>
      <c r="T51" s="27">
        <v>8.9448233668310909E-3</v>
      </c>
      <c r="U51" s="36">
        <v>34562.510000000009</v>
      </c>
      <c r="V51" s="27">
        <v>2.8007139357083496E-3</v>
      </c>
      <c r="W51" s="36">
        <v>77153.860000000015</v>
      </c>
      <c r="X51" s="27">
        <v>6.8320859288788392E-3</v>
      </c>
      <c r="Y51" s="36">
        <v>63360.570000000007</v>
      </c>
      <c r="Z51" s="27">
        <v>6.0643117519312119E-3</v>
      </c>
      <c r="AA51" s="115">
        <v>86866.89</v>
      </c>
      <c r="AB51" s="104">
        <f t="shared" si="2"/>
        <v>1.7509283341386076E-2</v>
      </c>
      <c r="AC51" s="214" t="str">
        <f t="shared" si="0"/>
        <v>OK</v>
      </c>
      <c r="AD51" t="s">
        <v>42</v>
      </c>
      <c r="AE51">
        <v>4961190.4899999984</v>
      </c>
      <c r="AF51">
        <v>577417.90000000049</v>
      </c>
      <c r="AG51">
        <v>86866.89</v>
      </c>
    </row>
    <row r="52" spans="1:33" x14ac:dyDescent="0.25">
      <c r="A52" s="17"/>
      <c r="B52" s="17"/>
      <c r="C52" s="17"/>
      <c r="D52" s="17"/>
      <c r="E52" s="17"/>
      <c r="F52" s="116"/>
      <c r="G52" s="128"/>
      <c r="H52" s="17"/>
      <c r="I52" s="35"/>
      <c r="J52" s="17"/>
      <c r="K52" s="35"/>
      <c r="L52" s="17"/>
      <c r="M52" s="35"/>
      <c r="N52" s="17"/>
      <c r="O52" s="35"/>
      <c r="P52" s="116"/>
      <c r="Q52" s="288"/>
      <c r="R52" s="128"/>
      <c r="S52" s="17"/>
      <c r="T52" s="35"/>
      <c r="U52" s="17"/>
      <c r="V52" s="35"/>
      <c r="W52" s="17"/>
      <c r="X52" s="35"/>
      <c r="Y52" s="17"/>
      <c r="Z52" s="35"/>
      <c r="AA52" s="116"/>
      <c r="AB52" s="288"/>
    </row>
    <row r="53" spans="1:33" ht="15.75" thickBot="1" x14ac:dyDescent="0.3">
      <c r="A53" s="26" t="s">
        <v>129</v>
      </c>
      <c r="B53" s="37">
        <v>362956715.16000003</v>
      </c>
      <c r="C53" s="37">
        <v>378286027</v>
      </c>
      <c r="D53" s="37">
        <v>405907915.29000252</v>
      </c>
      <c r="E53" s="37">
        <v>425895805.77000207</v>
      </c>
      <c r="F53" s="114">
        <f>SUM(F6:F52)</f>
        <v>439950756.84000009</v>
      </c>
      <c r="G53" s="129"/>
      <c r="H53" s="37">
        <v>41033980.670000002</v>
      </c>
      <c r="I53" s="28">
        <v>0.11305474993598408</v>
      </c>
      <c r="J53" s="37">
        <v>42083266.559999868</v>
      </c>
      <c r="K53" s="28">
        <v>0.11124721389722352</v>
      </c>
      <c r="L53" s="37">
        <v>48900089.819999948</v>
      </c>
      <c r="M53" s="28">
        <v>0.12047089494439418</v>
      </c>
      <c r="N53" s="37">
        <v>51833300.570000038</v>
      </c>
      <c r="O53" s="28">
        <v>0.12170418179227561</v>
      </c>
      <c r="P53" s="114">
        <f>SUM(P6:P52)</f>
        <v>55523517.199999765</v>
      </c>
      <c r="Q53" s="105">
        <f>P53/F53</f>
        <v>0.12620393609231223</v>
      </c>
      <c r="R53" s="129"/>
      <c r="S53" s="37">
        <v>3982891.1799999997</v>
      </c>
      <c r="T53" s="28">
        <v>1.0973460508215823E-2</v>
      </c>
      <c r="U53" s="37">
        <v>4216379.419999999</v>
      </c>
      <c r="V53" s="28">
        <v>1.1146008890251712E-2</v>
      </c>
      <c r="W53" s="37">
        <v>4579205.7</v>
      </c>
      <c r="X53" s="28">
        <v>1.1281390501410568E-2</v>
      </c>
      <c r="Y53" s="37">
        <v>4670540.7900000038</v>
      </c>
      <c r="Z53" s="28">
        <v>1.0966393016141256E-2</v>
      </c>
      <c r="AA53" s="114">
        <f>SUM(AA6:AA52)</f>
        <v>5645968.1400000015</v>
      </c>
      <c r="AB53" s="105">
        <f>AA53/F53</f>
        <v>1.2833182014625581E-2</v>
      </c>
    </row>
    <row r="54" spans="1:33" ht="15.75" thickTop="1" x14ac:dyDescent="0.25"/>
  </sheetData>
  <sortState ref="AD6:AG61">
    <sortCondition ref="AD6"/>
  </sortState>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T54"/>
  <sheetViews>
    <sheetView workbookViewId="0">
      <pane xSplit="1" ySplit="5" topLeftCell="B39" activePane="bottomRight" state="frozen"/>
      <selection activeCell="C8" sqref="C8"/>
      <selection pane="topRight" activeCell="C8" sqref="C8"/>
      <selection pane="bottomLeft" activeCell="C8" sqref="C8"/>
      <selection pane="bottomRight" activeCell="C8" sqref="C8"/>
    </sheetView>
  </sheetViews>
  <sheetFormatPr defaultRowHeight="15" x14ac:dyDescent="0.25"/>
  <cols>
    <col min="1" max="1" width="49.28515625" bestFit="1" customWidth="1"/>
  </cols>
  <sheetData>
    <row r="1" spans="1:20" x14ac:dyDescent="0.25">
      <c r="A1" s="30">
        <v>1</v>
      </c>
      <c r="B1" s="30">
        <v>2</v>
      </c>
      <c r="C1" s="30">
        <v>3</v>
      </c>
      <c r="D1" s="30">
        <v>4</v>
      </c>
      <c r="E1" s="30">
        <v>5</v>
      </c>
      <c r="F1" s="30">
        <v>6</v>
      </c>
      <c r="G1" s="30">
        <v>7</v>
      </c>
      <c r="H1" s="30">
        <v>8</v>
      </c>
      <c r="I1" s="30">
        <v>9</v>
      </c>
      <c r="J1" s="30">
        <v>10</v>
      </c>
      <c r="K1" s="30">
        <v>11</v>
      </c>
      <c r="L1" s="30">
        <v>12</v>
      </c>
      <c r="M1" s="30">
        <v>13</v>
      </c>
      <c r="N1" s="30">
        <v>14</v>
      </c>
      <c r="O1" s="30">
        <v>15</v>
      </c>
      <c r="P1" s="30">
        <v>16</v>
      </c>
    </row>
    <row r="2" spans="1:20" x14ac:dyDescent="0.25">
      <c r="B2" s="62" t="s">
        <v>107</v>
      </c>
      <c r="C2" s="62"/>
      <c r="D2" s="62"/>
      <c r="E2" s="62"/>
      <c r="F2" s="62"/>
      <c r="G2" s="62"/>
      <c r="H2" s="62"/>
      <c r="I2" s="62"/>
      <c r="J2" s="62"/>
      <c r="K2" s="62"/>
      <c r="L2" s="62"/>
      <c r="M2" s="62"/>
      <c r="N2" s="62"/>
      <c r="O2" s="62"/>
      <c r="P2" s="62"/>
    </row>
    <row r="3" spans="1:20" x14ac:dyDescent="0.25">
      <c r="B3" s="63"/>
      <c r="C3" s="63"/>
      <c r="D3" s="64"/>
      <c r="E3" s="63"/>
      <c r="F3" s="63"/>
      <c r="G3" s="64"/>
      <c r="H3" s="63"/>
      <c r="I3" s="63"/>
      <c r="J3" s="64"/>
      <c r="K3" s="63"/>
      <c r="L3" s="63"/>
      <c r="M3" s="64"/>
      <c r="N3" s="63"/>
      <c r="O3" s="63"/>
      <c r="P3" s="64"/>
    </row>
    <row r="4" spans="1:20" ht="31.5" customHeight="1" x14ac:dyDescent="0.25">
      <c r="B4" s="45">
        <v>2015</v>
      </c>
      <c r="C4" s="45">
        <v>2015</v>
      </c>
      <c r="D4" s="45">
        <v>2015</v>
      </c>
      <c r="E4" s="45">
        <v>2016</v>
      </c>
      <c r="F4" s="45">
        <v>2016</v>
      </c>
      <c r="G4" s="45">
        <v>2016</v>
      </c>
      <c r="H4" s="45">
        <v>2017</v>
      </c>
      <c r="I4" s="45">
        <v>2017</v>
      </c>
      <c r="J4" s="45">
        <v>2017</v>
      </c>
      <c r="K4" s="45">
        <v>2018</v>
      </c>
      <c r="L4" s="45">
        <v>2018</v>
      </c>
      <c r="M4" s="45">
        <v>2018</v>
      </c>
      <c r="N4" s="45">
        <v>2019</v>
      </c>
      <c r="O4" s="45">
        <v>2019</v>
      </c>
      <c r="P4" s="45">
        <v>2019</v>
      </c>
    </row>
    <row r="5" spans="1:20" ht="30" x14ac:dyDescent="0.25">
      <c r="A5" s="41" t="s">
        <v>45</v>
      </c>
      <c r="B5" s="139" t="s">
        <v>191</v>
      </c>
      <c r="C5" s="139" t="s">
        <v>192</v>
      </c>
      <c r="D5" s="139" t="s">
        <v>193</v>
      </c>
      <c r="E5" s="139" t="s">
        <v>191</v>
      </c>
      <c r="F5" s="139" t="s">
        <v>192</v>
      </c>
      <c r="G5" s="139" t="s">
        <v>193</v>
      </c>
      <c r="H5" s="139" t="s">
        <v>191</v>
      </c>
      <c r="I5" s="139" t="s">
        <v>192</v>
      </c>
      <c r="J5" s="139" t="s">
        <v>193</v>
      </c>
      <c r="K5" s="139" t="s">
        <v>191</v>
      </c>
      <c r="L5" s="139" t="s">
        <v>192</v>
      </c>
      <c r="M5" s="139" t="s">
        <v>193</v>
      </c>
      <c r="N5" s="139" t="s">
        <v>191</v>
      </c>
      <c r="O5" s="139" t="s">
        <v>192</v>
      </c>
      <c r="P5" s="139" t="s">
        <v>193</v>
      </c>
    </row>
    <row r="6" spans="1:20" x14ac:dyDescent="0.25">
      <c r="A6" s="17" t="s">
        <v>0</v>
      </c>
      <c r="B6" s="34">
        <v>28</v>
      </c>
      <c r="C6" s="34">
        <v>15</v>
      </c>
      <c r="D6" s="27">
        <v>0.5357142857142857</v>
      </c>
      <c r="E6" s="34">
        <v>34</v>
      </c>
      <c r="F6" s="34">
        <v>16</v>
      </c>
      <c r="G6" s="27">
        <v>0.47058823529411764</v>
      </c>
      <c r="H6" s="34">
        <v>34</v>
      </c>
      <c r="I6" s="34">
        <v>16</v>
      </c>
      <c r="J6" s="27">
        <v>0.47058823529411764</v>
      </c>
      <c r="K6" s="34">
        <v>30</v>
      </c>
      <c r="L6" s="34">
        <v>22</v>
      </c>
      <c r="M6" s="27">
        <v>0.73333333333333328</v>
      </c>
      <c r="N6" s="132">
        <v>27</v>
      </c>
      <c r="O6" s="132">
        <v>20</v>
      </c>
      <c r="P6" s="104">
        <f>O6/N6</f>
        <v>0.7407407407407407</v>
      </c>
      <c r="Q6" t="str">
        <f>IF(A6=R6,"OK","No")</f>
        <v>No</v>
      </c>
      <c r="R6" t="s">
        <v>412</v>
      </c>
      <c r="S6">
        <v>27</v>
      </c>
      <c r="T6">
        <v>20</v>
      </c>
    </row>
    <row r="7" spans="1:20" x14ac:dyDescent="0.25">
      <c r="A7" s="17" t="s">
        <v>26</v>
      </c>
      <c r="B7" s="34">
        <v>19</v>
      </c>
      <c r="C7" s="34">
        <v>13</v>
      </c>
      <c r="D7" s="27">
        <v>0.68421052631578949</v>
      </c>
      <c r="E7" s="34">
        <v>20</v>
      </c>
      <c r="F7" s="34">
        <v>15</v>
      </c>
      <c r="G7" s="27">
        <v>0.75</v>
      </c>
      <c r="H7" s="34">
        <v>21</v>
      </c>
      <c r="I7" s="34">
        <v>19</v>
      </c>
      <c r="J7" s="27">
        <v>0.90476190476190477</v>
      </c>
      <c r="K7" s="34">
        <v>19</v>
      </c>
      <c r="L7" s="34">
        <v>19</v>
      </c>
      <c r="M7" s="27">
        <v>1</v>
      </c>
      <c r="N7" s="132">
        <v>2</v>
      </c>
      <c r="O7" s="132">
        <v>2</v>
      </c>
      <c r="P7" s="104">
        <f t="shared" ref="P7:P51" si="0">O7/N7</f>
        <v>1</v>
      </c>
      <c r="Q7" t="str">
        <f t="shared" ref="Q7:Q51" si="1">IF(A7=R7,"OK","No")</f>
        <v>OK</v>
      </c>
      <c r="R7" t="s">
        <v>26</v>
      </c>
      <c r="S7">
        <v>2</v>
      </c>
      <c r="T7">
        <v>2</v>
      </c>
    </row>
    <row r="8" spans="1:20" x14ac:dyDescent="0.25">
      <c r="A8" s="17" t="s">
        <v>1</v>
      </c>
      <c r="B8" s="34">
        <v>989</v>
      </c>
      <c r="C8" s="34">
        <v>636</v>
      </c>
      <c r="D8" s="27">
        <v>0.64307381193124369</v>
      </c>
      <c r="E8" s="34">
        <v>1041</v>
      </c>
      <c r="F8" s="34">
        <v>668</v>
      </c>
      <c r="G8" s="27">
        <v>0.64169068203650337</v>
      </c>
      <c r="H8" s="34">
        <v>1027</v>
      </c>
      <c r="I8" s="34">
        <v>790</v>
      </c>
      <c r="J8" s="27">
        <v>0.76923076923076927</v>
      </c>
      <c r="K8" s="34">
        <v>1026</v>
      </c>
      <c r="L8" s="34">
        <v>887</v>
      </c>
      <c r="M8" s="27">
        <v>0.86452241715399614</v>
      </c>
      <c r="N8" s="132">
        <v>905</v>
      </c>
      <c r="O8" s="132">
        <v>760</v>
      </c>
      <c r="P8" s="104">
        <f t="shared" si="0"/>
        <v>0.83977900552486184</v>
      </c>
      <c r="Q8" t="str">
        <f t="shared" si="1"/>
        <v>OK</v>
      </c>
      <c r="R8" t="s">
        <v>1</v>
      </c>
      <c r="S8">
        <v>905</v>
      </c>
      <c r="T8">
        <v>760</v>
      </c>
    </row>
    <row r="9" spans="1:20" x14ac:dyDescent="0.25">
      <c r="A9" s="17" t="s">
        <v>2</v>
      </c>
      <c r="B9" s="34">
        <v>976</v>
      </c>
      <c r="C9" s="34">
        <v>780</v>
      </c>
      <c r="D9" s="27">
        <v>0.79918032786885251</v>
      </c>
      <c r="E9" s="34">
        <v>1004</v>
      </c>
      <c r="F9" s="34">
        <v>798</v>
      </c>
      <c r="G9" s="27">
        <v>0.79482071713147406</v>
      </c>
      <c r="H9" s="34">
        <v>1005</v>
      </c>
      <c r="I9" s="34">
        <v>909</v>
      </c>
      <c r="J9" s="27">
        <v>0.90447761194029852</v>
      </c>
      <c r="K9" s="34">
        <v>1030</v>
      </c>
      <c r="L9" s="34">
        <v>978</v>
      </c>
      <c r="M9" s="27">
        <v>0.94951456310679616</v>
      </c>
      <c r="N9" s="132">
        <v>775</v>
      </c>
      <c r="O9" s="132">
        <v>725</v>
      </c>
      <c r="P9" s="104">
        <f t="shared" si="0"/>
        <v>0.93548387096774188</v>
      </c>
      <c r="Q9" t="str">
        <f t="shared" si="1"/>
        <v>OK</v>
      </c>
      <c r="R9" t="s">
        <v>2</v>
      </c>
      <c r="S9">
        <v>775</v>
      </c>
      <c r="T9">
        <v>725</v>
      </c>
    </row>
    <row r="10" spans="1:20" x14ac:dyDescent="0.25">
      <c r="A10" s="17" t="s">
        <v>3</v>
      </c>
      <c r="B10" s="34">
        <v>144</v>
      </c>
      <c r="C10" s="34">
        <v>135</v>
      </c>
      <c r="D10" s="27">
        <v>0.9375</v>
      </c>
      <c r="E10" s="34">
        <v>153</v>
      </c>
      <c r="F10" s="34">
        <v>67</v>
      </c>
      <c r="G10" s="27">
        <v>0.43790849673202614</v>
      </c>
      <c r="H10" s="34">
        <v>158</v>
      </c>
      <c r="I10" s="34">
        <v>100</v>
      </c>
      <c r="J10" s="27">
        <v>0.63291139240506333</v>
      </c>
      <c r="K10" s="34">
        <v>155</v>
      </c>
      <c r="L10" s="34">
        <v>152</v>
      </c>
      <c r="M10" s="27">
        <v>0.98064516129032253</v>
      </c>
      <c r="N10" s="132">
        <v>147</v>
      </c>
      <c r="O10" s="132">
        <v>133</v>
      </c>
      <c r="P10" s="104">
        <f t="shared" si="0"/>
        <v>0.90476190476190477</v>
      </c>
      <c r="Q10" t="str">
        <f t="shared" si="1"/>
        <v>OK</v>
      </c>
      <c r="R10" t="s">
        <v>3</v>
      </c>
      <c r="S10">
        <v>147</v>
      </c>
      <c r="T10">
        <v>133</v>
      </c>
    </row>
    <row r="11" spans="1:20" x14ac:dyDescent="0.25">
      <c r="A11" s="17" t="s">
        <v>33</v>
      </c>
      <c r="B11" s="34">
        <v>1</v>
      </c>
      <c r="C11" s="34">
        <v>0</v>
      </c>
      <c r="D11" s="27">
        <v>0</v>
      </c>
      <c r="E11" s="34">
        <v>0</v>
      </c>
      <c r="F11" s="34">
        <v>0</v>
      </c>
      <c r="G11" s="27" t="e">
        <v>#DIV/0!</v>
      </c>
      <c r="H11" s="34"/>
      <c r="I11" s="34"/>
      <c r="J11" s="27" t="e">
        <v>#DIV/0!</v>
      </c>
      <c r="K11" s="34">
        <v>1</v>
      </c>
      <c r="L11" s="34">
        <v>1</v>
      </c>
      <c r="M11" s="27">
        <v>1</v>
      </c>
      <c r="N11" s="132"/>
      <c r="O11" s="132"/>
      <c r="P11" s="104" t="e">
        <f t="shared" si="0"/>
        <v>#DIV/0!</v>
      </c>
      <c r="Q11" t="str">
        <f t="shared" si="1"/>
        <v>No</v>
      </c>
      <c r="R11" t="s">
        <v>413</v>
      </c>
    </row>
    <row r="12" spans="1:20" x14ac:dyDescent="0.25">
      <c r="A12" s="17" t="s">
        <v>23</v>
      </c>
      <c r="B12" s="34">
        <v>13</v>
      </c>
      <c r="C12" s="34">
        <v>10</v>
      </c>
      <c r="D12" s="27">
        <v>0.76923076923076927</v>
      </c>
      <c r="E12" s="34">
        <v>11</v>
      </c>
      <c r="F12" s="34">
        <v>5</v>
      </c>
      <c r="G12" s="27">
        <v>0.45454545454545453</v>
      </c>
      <c r="H12" s="34">
        <v>23</v>
      </c>
      <c r="I12" s="34">
        <v>15</v>
      </c>
      <c r="J12" s="27">
        <v>0.65217391304347827</v>
      </c>
      <c r="K12" s="34">
        <v>51</v>
      </c>
      <c r="L12" s="34">
        <v>35</v>
      </c>
      <c r="M12" s="27">
        <v>0.68627450980392157</v>
      </c>
      <c r="N12" s="132">
        <v>34</v>
      </c>
      <c r="O12" s="132">
        <v>26</v>
      </c>
      <c r="P12" s="104">
        <f t="shared" si="0"/>
        <v>0.76470588235294112</v>
      </c>
      <c r="Q12" t="str">
        <f t="shared" si="1"/>
        <v>No</v>
      </c>
      <c r="R12" t="s">
        <v>338</v>
      </c>
      <c r="S12">
        <v>34</v>
      </c>
      <c r="T12">
        <v>26</v>
      </c>
    </row>
    <row r="13" spans="1:20" x14ac:dyDescent="0.25">
      <c r="A13" s="17" t="s">
        <v>4</v>
      </c>
      <c r="B13" s="34">
        <v>127</v>
      </c>
      <c r="C13" s="34">
        <v>91</v>
      </c>
      <c r="D13" s="27">
        <v>0.71653543307086609</v>
      </c>
      <c r="E13" s="34">
        <v>126</v>
      </c>
      <c r="F13" s="34">
        <v>100</v>
      </c>
      <c r="G13" s="27">
        <v>0.79365079365079361</v>
      </c>
      <c r="H13" s="34">
        <v>125</v>
      </c>
      <c r="I13" s="34">
        <v>97</v>
      </c>
      <c r="J13" s="27">
        <v>0.77600000000000002</v>
      </c>
      <c r="K13" s="34">
        <v>104</v>
      </c>
      <c r="L13" s="34">
        <v>96</v>
      </c>
      <c r="M13" s="27">
        <v>0.92307692307692313</v>
      </c>
      <c r="N13" s="132">
        <v>73</v>
      </c>
      <c r="O13" s="132">
        <v>55</v>
      </c>
      <c r="P13" s="104">
        <f t="shared" si="0"/>
        <v>0.75342465753424659</v>
      </c>
      <c r="Q13" t="str">
        <f t="shared" si="1"/>
        <v>OK</v>
      </c>
      <c r="R13" t="s">
        <v>4</v>
      </c>
      <c r="S13">
        <v>73</v>
      </c>
      <c r="T13">
        <v>55</v>
      </c>
    </row>
    <row r="14" spans="1:20" x14ac:dyDescent="0.25">
      <c r="A14" s="17" t="s">
        <v>28</v>
      </c>
      <c r="B14" s="34">
        <v>22</v>
      </c>
      <c r="C14" s="34">
        <v>19</v>
      </c>
      <c r="D14" s="27">
        <v>0.86363636363636365</v>
      </c>
      <c r="E14" s="34">
        <v>21</v>
      </c>
      <c r="F14" s="34">
        <v>17</v>
      </c>
      <c r="G14" s="27">
        <v>0.80952380952380953</v>
      </c>
      <c r="H14" s="34">
        <v>22</v>
      </c>
      <c r="I14" s="34">
        <v>19</v>
      </c>
      <c r="J14" s="27">
        <v>0.86363636363636365</v>
      </c>
      <c r="K14" s="34">
        <v>21</v>
      </c>
      <c r="L14" s="34">
        <v>17</v>
      </c>
      <c r="M14" s="27">
        <v>0.80952380952380953</v>
      </c>
      <c r="N14" s="132">
        <v>4</v>
      </c>
      <c r="O14" s="132">
        <v>3</v>
      </c>
      <c r="P14" s="104">
        <f t="shared" si="0"/>
        <v>0.75</v>
      </c>
      <c r="Q14" t="str">
        <f t="shared" si="1"/>
        <v>OK</v>
      </c>
      <c r="R14" t="s">
        <v>28</v>
      </c>
      <c r="S14">
        <v>4</v>
      </c>
      <c r="T14">
        <v>3</v>
      </c>
    </row>
    <row r="15" spans="1:20" x14ac:dyDescent="0.25">
      <c r="A15" s="17" t="s">
        <v>29</v>
      </c>
      <c r="B15" s="34">
        <v>18</v>
      </c>
      <c r="C15" s="34">
        <v>8</v>
      </c>
      <c r="D15" s="27">
        <v>0.44444444444444442</v>
      </c>
      <c r="E15" s="34">
        <v>15</v>
      </c>
      <c r="F15" s="34">
        <v>12</v>
      </c>
      <c r="G15" s="27">
        <v>0.8</v>
      </c>
      <c r="H15" s="34">
        <v>14</v>
      </c>
      <c r="I15" s="34">
        <v>10</v>
      </c>
      <c r="J15" s="27">
        <v>0.7142857142857143</v>
      </c>
      <c r="K15" s="34">
        <v>12</v>
      </c>
      <c r="L15" s="34">
        <v>10</v>
      </c>
      <c r="M15" s="27">
        <v>0.83333333333333337</v>
      </c>
      <c r="N15" s="132"/>
      <c r="O15" s="132"/>
      <c r="P15" s="104" t="e">
        <f t="shared" si="0"/>
        <v>#DIV/0!</v>
      </c>
      <c r="Q15" t="str">
        <f t="shared" si="1"/>
        <v>OK</v>
      </c>
      <c r="R15" t="s">
        <v>29</v>
      </c>
    </row>
    <row r="16" spans="1:20" x14ac:dyDescent="0.25">
      <c r="A16" s="17" t="s">
        <v>5</v>
      </c>
      <c r="B16" s="34">
        <v>25</v>
      </c>
      <c r="C16" s="34">
        <v>9</v>
      </c>
      <c r="D16" s="27">
        <v>0.36</v>
      </c>
      <c r="E16" s="34">
        <v>33</v>
      </c>
      <c r="F16" s="34">
        <v>15</v>
      </c>
      <c r="G16" s="27">
        <v>0.45454545454545453</v>
      </c>
      <c r="H16" s="34">
        <v>36</v>
      </c>
      <c r="I16" s="34">
        <v>21</v>
      </c>
      <c r="J16" s="27">
        <v>0.58333333333333337</v>
      </c>
      <c r="K16" s="34">
        <v>45</v>
      </c>
      <c r="L16" s="34">
        <v>43</v>
      </c>
      <c r="M16" s="27">
        <v>0.9555555555555556</v>
      </c>
      <c r="N16" s="132">
        <v>38</v>
      </c>
      <c r="O16" s="132">
        <v>24</v>
      </c>
      <c r="P16" s="104">
        <f t="shared" si="0"/>
        <v>0.63157894736842102</v>
      </c>
      <c r="Q16" t="str">
        <f t="shared" si="1"/>
        <v>OK</v>
      </c>
      <c r="R16" t="s">
        <v>5</v>
      </c>
      <c r="S16">
        <v>38</v>
      </c>
      <c r="T16">
        <v>24</v>
      </c>
    </row>
    <row r="17" spans="1:20" x14ac:dyDescent="0.25">
      <c r="A17" s="17" t="s">
        <v>22</v>
      </c>
      <c r="B17" s="34">
        <v>418</v>
      </c>
      <c r="C17" s="34">
        <v>245</v>
      </c>
      <c r="D17" s="27">
        <v>0.5861244019138756</v>
      </c>
      <c r="E17" s="34">
        <v>450</v>
      </c>
      <c r="F17" s="34">
        <v>261</v>
      </c>
      <c r="G17" s="27">
        <v>0.57999999999999996</v>
      </c>
      <c r="H17" s="34">
        <v>495</v>
      </c>
      <c r="I17" s="34">
        <v>315</v>
      </c>
      <c r="J17" s="27">
        <v>0.63636363636363635</v>
      </c>
      <c r="K17" s="34">
        <v>429</v>
      </c>
      <c r="L17" s="34">
        <v>342</v>
      </c>
      <c r="M17" s="27">
        <v>0.79720279720279719</v>
      </c>
      <c r="N17" s="132">
        <v>323</v>
      </c>
      <c r="O17" s="132">
        <v>243</v>
      </c>
      <c r="P17" s="104">
        <f t="shared" si="0"/>
        <v>0.75232198142414863</v>
      </c>
      <c r="Q17" t="str">
        <f t="shared" si="1"/>
        <v>OK</v>
      </c>
      <c r="R17" t="s">
        <v>22</v>
      </c>
      <c r="S17">
        <v>323</v>
      </c>
      <c r="T17">
        <v>243</v>
      </c>
    </row>
    <row r="18" spans="1:20" x14ac:dyDescent="0.25">
      <c r="A18" s="17" t="s">
        <v>7</v>
      </c>
      <c r="B18" s="34">
        <v>42</v>
      </c>
      <c r="C18" s="34">
        <v>31</v>
      </c>
      <c r="D18" s="27">
        <v>0.73809523809523814</v>
      </c>
      <c r="E18" s="34">
        <v>36</v>
      </c>
      <c r="F18" s="34">
        <v>20</v>
      </c>
      <c r="G18" s="27">
        <v>0.55555555555555558</v>
      </c>
      <c r="H18" s="34">
        <v>31</v>
      </c>
      <c r="I18" s="34">
        <v>27</v>
      </c>
      <c r="J18" s="27">
        <v>0.87096774193548387</v>
      </c>
      <c r="K18" s="34">
        <v>26</v>
      </c>
      <c r="L18" s="34">
        <v>21</v>
      </c>
      <c r="M18" s="27">
        <v>0.80769230769230771</v>
      </c>
      <c r="N18" s="132">
        <v>25</v>
      </c>
      <c r="O18" s="132">
        <v>20</v>
      </c>
      <c r="P18" s="104">
        <f t="shared" si="0"/>
        <v>0.8</v>
      </c>
      <c r="Q18" t="str">
        <f t="shared" si="1"/>
        <v>OK</v>
      </c>
      <c r="R18" t="s">
        <v>7</v>
      </c>
      <c r="S18">
        <v>25</v>
      </c>
      <c r="T18">
        <v>20</v>
      </c>
    </row>
    <row r="19" spans="1:20" x14ac:dyDescent="0.25">
      <c r="A19" s="17" t="s">
        <v>6</v>
      </c>
      <c r="B19" s="34">
        <v>1</v>
      </c>
      <c r="C19" s="34">
        <v>1</v>
      </c>
      <c r="D19" s="27">
        <v>1</v>
      </c>
      <c r="E19" s="34">
        <v>0</v>
      </c>
      <c r="F19" s="34">
        <v>0</v>
      </c>
      <c r="G19" s="27" t="e">
        <v>#DIV/0!</v>
      </c>
      <c r="H19" s="34"/>
      <c r="I19" s="34"/>
      <c r="J19" s="27" t="e">
        <v>#DIV/0!</v>
      </c>
      <c r="K19" s="34"/>
      <c r="L19" s="34"/>
      <c r="M19" s="27" t="e">
        <v>#DIV/0!</v>
      </c>
      <c r="N19" s="132"/>
      <c r="O19" s="132"/>
      <c r="P19" s="104" t="e">
        <f t="shared" si="0"/>
        <v>#DIV/0!</v>
      </c>
      <c r="Q19" t="str">
        <f t="shared" si="1"/>
        <v>OK</v>
      </c>
      <c r="R19" t="s">
        <v>6</v>
      </c>
    </row>
    <row r="20" spans="1:20" x14ac:dyDescent="0.25">
      <c r="A20" s="17" t="s">
        <v>30</v>
      </c>
      <c r="B20" s="34">
        <v>1</v>
      </c>
      <c r="C20" s="34">
        <v>1</v>
      </c>
      <c r="D20" s="27">
        <v>1</v>
      </c>
      <c r="E20" s="34">
        <v>1</v>
      </c>
      <c r="F20" s="34">
        <v>1</v>
      </c>
      <c r="G20" s="27">
        <v>1</v>
      </c>
      <c r="H20" s="34"/>
      <c r="I20" s="34"/>
      <c r="J20" s="27" t="e">
        <v>#DIV/0!</v>
      </c>
      <c r="K20" s="34"/>
      <c r="L20" s="34"/>
      <c r="M20" s="27" t="e">
        <v>#DIV/0!</v>
      </c>
      <c r="N20" s="132"/>
      <c r="O20" s="132"/>
      <c r="P20" s="104" t="e">
        <f t="shared" si="0"/>
        <v>#DIV/0!</v>
      </c>
      <c r="Q20" t="str">
        <f t="shared" si="1"/>
        <v>OK</v>
      </c>
      <c r="R20" t="s">
        <v>30</v>
      </c>
    </row>
    <row r="21" spans="1:20" x14ac:dyDescent="0.25">
      <c r="A21" s="17" t="s">
        <v>8</v>
      </c>
      <c r="B21" s="34">
        <v>88</v>
      </c>
      <c r="C21" s="34">
        <v>45</v>
      </c>
      <c r="D21" s="27">
        <v>0.51136363636363635</v>
      </c>
      <c r="E21" s="34">
        <v>68</v>
      </c>
      <c r="F21" s="34">
        <v>44</v>
      </c>
      <c r="G21" s="27">
        <v>0.6470588235294118</v>
      </c>
      <c r="H21" s="34">
        <v>79</v>
      </c>
      <c r="I21" s="34">
        <v>53</v>
      </c>
      <c r="J21" s="27">
        <v>0.67088607594936711</v>
      </c>
      <c r="K21" s="34">
        <v>70</v>
      </c>
      <c r="L21" s="34">
        <v>62</v>
      </c>
      <c r="M21" s="27">
        <v>0.88571428571428568</v>
      </c>
      <c r="N21" s="132">
        <v>11</v>
      </c>
      <c r="O21" s="132">
        <v>11</v>
      </c>
      <c r="P21" s="104">
        <f t="shared" si="0"/>
        <v>1</v>
      </c>
      <c r="Q21" t="str">
        <f t="shared" si="1"/>
        <v>OK</v>
      </c>
      <c r="R21" t="s">
        <v>8</v>
      </c>
      <c r="S21">
        <v>11</v>
      </c>
      <c r="T21">
        <v>11</v>
      </c>
    </row>
    <row r="22" spans="1:20" x14ac:dyDescent="0.25">
      <c r="A22" s="17" t="s">
        <v>9</v>
      </c>
      <c r="B22" s="34">
        <v>109</v>
      </c>
      <c r="C22" s="34">
        <v>106</v>
      </c>
      <c r="D22" s="27">
        <v>0.97247706422018354</v>
      </c>
      <c r="E22" s="34">
        <v>104</v>
      </c>
      <c r="F22" s="34">
        <v>98</v>
      </c>
      <c r="G22" s="27">
        <v>0.94230769230769229</v>
      </c>
      <c r="H22" s="34">
        <v>117</v>
      </c>
      <c r="I22" s="34">
        <v>102</v>
      </c>
      <c r="J22" s="27">
        <v>0.87179487179487181</v>
      </c>
      <c r="K22" s="34">
        <v>124</v>
      </c>
      <c r="L22" s="34">
        <v>123</v>
      </c>
      <c r="M22" s="27">
        <v>0.99193548387096775</v>
      </c>
      <c r="N22" s="132">
        <v>101</v>
      </c>
      <c r="O22" s="132">
        <v>99</v>
      </c>
      <c r="P22" s="104">
        <f t="shared" si="0"/>
        <v>0.98019801980198018</v>
      </c>
      <c r="Q22" t="str">
        <f t="shared" si="1"/>
        <v>OK</v>
      </c>
      <c r="R22" t="s">
        <v>9</v>
      </c>
      <c r="S22">
        <v>101</v>
      </c>
      <c r="T22">
        <v>99</v>
      </c>
    </row>
    <row r="23" spans="1:20" x14ac:dyDescent="0.25">
      <c r="A23" s="17" t="s">
        <v>24</v>
      </c>
      <c r="B23" s="34">
        <v>5336</v>
      </c>
      <c r="C23" s="34">
        <v>4320</v>
      </c>
      <c r="D23" s="27">
        <v>0.80959520239880056</v>
      </c>
      <c r="E23" s="34">
        <v>5460</v>
      </c>
      <c r="F23" s="34">
        <v>4182</v>
      </c>
      <c r="G23" s="27">
        <v>0.76593406593406599</v>
      </c>
      <c r="H23" s="34">
        <v>5674</v>
      </c>
      <c r="I23" s="34">
        <v>4834</v>
      </c>
      <c r="J23" s="27">
        <v>0.85195629185759603</v>
      </c>
      <c r="K23" s="34">
        <v>5886</v>
      </c>
      <c r="L23" s="34">
        <v>5418</v>
      </c>
      <c r="M23" s="27">
        <v>0.92048929663608559</v>
      </c>
      <c r="N23" s="132">
        <v>5815</v>
      </c>
      <c r="O23" s="132">
        <v>5361</v>
      </c>
      <c r="P23" s="104">
        <f t="shared" si="0"/>
        <v>0.92192605331040411</v>
      </c>
      <c r="Q23" t="str">
        <f t="shared" si="1"/>
        <v>OK</v>
      </c>
      <c r="R23" t="s">
        <v>24</v>
      </c>
      <c r="S23">
        <v>5815</v>
      </c>
      <c r="T23">
        <v>5361</v>
      </c>
    </row>
    <row r="24" spans="1:20" x14ac:dyDescent="0.25">
      <c r="A24" s="17" t="s">
        <v>25</v>
      </c>
      <c r="B24" s="34">
        <v>0</v>
      </c>
      <c r="C24" s="34">
        <v>0</v>
      </c>
      <c r="D24" s="27" t="e">
        <v>#DIV/0!</v>
      </c>
      <c r="E24" s="34">
        <v>0</v>
      </c>
      <c r="F24" s="34">
        <v>0</v>
      </c>
      <c r="G24" s="27" t="e">
        <v>#DIV/0!</v>
      </c>
      <c r="H24" s="34"/>
      <c r="I24" s="34"/>
      <c r="J24" s="27" t="e">
        <v>#DIV/0!</v>
      </c>
      <c r="K24" s="34">
        <v>0</v>
      </c>
      <c r="L24" s="34"/>
      <c r="M24" s="27" t="e">
        <v>#DIV/0!</v>
      </c>
      <c r="N24" s="132"/>
      <c r="O24" s="132"/>
      <c r="P24" s="104" t="e">
        <f t="shared" si="0"/>
        <v>#DIV/0!</v>
      </c>
      <c r="Q24" t="str">
        <f t="shared" si="1"/>
        <v>OK</v>
      </c>
      <c r="R24" t="s">
        <v>25</v>
      </c>
    </row>
    <row r="25" spans="1:20" x14ac:dyDescent="0.25">
      <c r="A25" s="17" t="s">
        <v>34</v>
      </c>
      <c r="B25" s="34">
        <v>0</v>
      </c>
      <c r="C25" s="34">
        <v>0</v>
      </c>
      <c r="D25" s="27" t="e">
        <v>#DIV/0!</v>
      </c>
      <c r="E25" s="34">
        <v>0</v>
      </c>
      <c r="F25" s="34">
        <v>0</v>
      </c>
      <c r="G25" s="27" t="e">
        <v>#DIV/0!</v>
      </c>
      <c r="H25" s="34"/>
      <c r="I25" s="34"/>
      <c r="J25" s="27" t="e">
        <v>#DIV/0!</v>
      </c>
      <c r="K25" s="34">
        <v>0</v>
      </c>
      <c r="L25" s="34"/>
      <c r="M25" s="27" t="e">
        <v>#DIV/0!</v>
      </c>
      <c r="N25" s="132"/>
      <c r="O25" s="132"/>
      <c r="P25" s="104" t="e">
        <f t="shared" si="0"/>
        <v>#DIV/0!</v>
      </c>
      <c r="Q25" t="str">
        <f t="shared" si="1"/>
        <v>OK</v>
      </c>
      <c r="R25" t="s">
        <v>34</v>
      </c>
    </row>
    <row r="26" spans="1:20" x14ac:dyDescent="0.25">
      <c r="A26" s="17" t="s">
        <v>10</v>
      </c>
      <c r="B26" s="34">
        <v>15</v>
      </c>
      <c r="C26" s="34">
        <v>12</v>
      </c>
      <c r="D26" s="27">
        <v>0.8</v>
      </c>
      <c r="E26" s="34">
        <v>16</v>
      </c>
      <c r="F26" s="34">
        <v>10</v>
      </c>
      <c r="G26" s="27">
        <v>0.625</v>
      </c>
      <c r="H26" s="34">
        <v>18</v>
      </c>
      <c r="I26" s="34">
        <v>13</v>
      </c>
      <c r="J26" s="27">
        <v>0.72222222222222221</v>
      </c>
      <c r="K26" s="34">
        <v>19</v>
      </c>
      <c r="L26" s="34">
        <v>19</v>
      </c>
      <c r="M26" s="27">
        <v>1</v>
      </c>
      <c r="N26" s="132">
        <v>10</v>
      </c>
      <c r="O26" s="132">
        <v>9</v>
      </c>
      <c r="P26" s="104">
        <f t="shared" si="0"/>
        <v>0.9</v>
      </c>
      <c r="Q26" t="str">
        <f t="shared" si="1"/>
        <v>No</v>
      </c>
      <c r="R26" t="s">
        <v>377</v>
      </c>
      <c r="S26">
        <v>10</v>
      </c>
      <c r="T26">
        <v>9</v>
      </c>
    </row>
    <row r="27" spans="1:20" x14ac:dyDescent="0.25">
      <c r="A27" s="17" t="s">
        <v>11</v>
      </c>
      <c r="B27" s="34">
        <v>52</v>
      </c>
      <c r="C27" s="34">
        <v>45</v>
      </c>
      <c r="D27" s="27">
        <v>0.86538461538461542</v>
      </c>
      <c r="E27" s="34">
        <v>64</v>
      </c>
      <c r="F27" s="34">
        <v>55</v>
      </c>
      <c r="G27" s="27">
        <v>0.859375</v>
      </c>
      <c r="H27" s="34">
        <v>68</v>
      </c>
      <c r="I27" s="34">
        <v>49</v>
      </c>
      <c r="J27" s="27">
        <v>0.72058823529411764</v>
      </c>
      <c r="K27" s="34">
        <v>64</v>
      </c>
      <c r="L27" s="34">
        <v>52</v>
      </c>
      <c r="M27" s="27">
        <v>0.8125</v>
      </c>
      <c r="N27" s="132">
        <v>8</v>
      </c>
      <c r="O27" s="132">
        <v>8</v>
      </c>
      <c r="P27" s="104">
        <f t="shared" si="0"/>
        <v>1</v>
      </c>
      <c r="Q27" t="str">
        <f t="shared" si="1"/>
        <v>No</v>
      </c>
      <c r="R27" t="s">
        <v>378</v>
      </c>
      <c r="S27">
        <v>8</v>
      </c>
      <c r="T27">
        <v>8</v>
      </c>
    </row>
    <row r="28" spans="1:20" x14ac:dyDescent="0.25">
      <c r="A28" s="17" t="s">
        <v>197</v>
      </c>
      <c r="B28" s="34">
        <v>121</v>
      </c>
      <c r="C28" s="34">
        <v>68</v>
      </c>
      <c r="D28" s="27">
        <v>0.56198347107438018</v>
      </c>
      <c r="E28" s="34">
        <v>124</v>
      </c>
      <c r="F28" s="34">
        <v>90</v>
      </c>
      <c r="G28" s="27">
        <v>0.72580645161290325</v>
      </c>
      <c r="H28" s="34">
        <v>116</v>
      </c>
      <c r="I28" s="34">
        <v>89</v>
      </c>
      <c r="J28" s="27">
        <v>0.76724137931034486</v>
      </c>
      <c r="K28" s="34">
        <v>127</v>
      </c>
      <c r="L28" s="34">
        <v>105</v>
      </c>
      <c r="M28" s="27">
        <v>0.82677165354330706</v>
      </c>
      <c r="N28" s="132">
        <v>127</v>
      </c>
      <c r="O28" s="132">
        <v>90</v>
      </c>
      <c r="P28" s="104">
        <f t="shared" si="0"/>
        <v>0.70866141732283461</v>
      </c>
      <c r="Q28" t="str">
        <f t="shared" si="1"/>
        <v>OK</v>
      </c>
      <c r="R28" t="s">
        <v>197</v>
      </c>
      <c r="S28">
        <v>127</v>
      </c>
      <c r="T28">
        <v>90</v>
      </c>
    </row>
    <row r="29" spans="1:20" x14ac:dyDescent="0.25">
      <c r="A29" s="17" t="s">
        <v>12</v>
      </c>
      <c r="B29" s="34">
        <v>234</v>
      </c>
      <c r="C29" s="34">
        <v>225</v>
      </c>
      <c r="D29" s="27">
        <v>0.96153846153846156</v>
      </c>
      <c r="E29" s="34">
        <v>230</v>
      </c>
      <c r="F29" s="34">
        <v>222</v>
      </c>
      <c r="G29" s="27">
        <v>0.9652173913043478</v>
      </c>
      <c r="H29" s="34">
        <v>242</v>
      </c>
      <c r="I29" s="34">
        <v>225</v>
      </c>
      <c r="J29" s="27">
        <v>0.92975206611570249</v>
      </c>
      <c r="K29" s="34">
        <v>225</v>
      </c>
      <c r="L29" s="34">
        <v>221</v>
      </c>
      <c r="M29" s="27">
        <v>0.98222222222222222</v>
      </c>
      <c r="N29" s="132">
        <v>162</v>
      </c>
      <c r="O29" s="132">
        <v>156</v>
      </c>
      <c r="P29" s="104">
        <f t="shared" si="0"/>
        <v>0.96296296296296291</v>
      </c>
      <c r="Q29" t="str">
        <f t="shared" si="1"/>
        <v>OK</v>
      </c>
      <c r="R29" t="s">
        <v>12</v>
      </c>
      <c r="S29">
        <v>162</v>
      </c>
      <c r="T29">
        <v>156</v>
      </c>
    </row>
    <row r="30" spans="1:20" x14ac:dyDescent="0.25">
      <c r="A30" s="17" t="s">
        <v>13</v>
      </c>
      <c r="B30" s="34">
        <v>83</v>
      </c>
      <c r="C30" s="34">
        <v>67</v>
      </c>
      <c r="D30" s="27">
        <v>0.80722891566265065</v>
      </c>
      <c r="E30" s="34">
        <v>82</v>
      </c>
      <c r="F30" s="34">
        <v>65</v>
      </c>
      <c r="G30" s="27">
        <v>0.79268292682926833</v>
      </c>
      <c r="H30" s="34">
        <v>87</v>
      </c>
      <c r="I30" s="34">
        <v>67</v>
      </c>
      <c r="J30" s="27">
        <v>0.77011494252873558</v>
      </c>
      <c r="K30" s="34">
        <v>87</v>
      </c>
      <c r="L30" s="34">
        <v>76</v>
      </c>
      <c r="M30" s="27">
        <v>0.87356321839080464</v>
      </c>
      <c r="N30" s="132">
        <v>71</v>
      </c>
      <c r="O30" s="132">
        <v>60</v>
      </c>
      <c r="P30" s="104">
        <f t="shared" si="0"/>
        <v>0.84507042253521125</v>
      </c>
      <c r="Q30" t="str">
        <f t="shared" si="1"/>
        <v>OK</v>
      </c>
      <c r="R30" t="s">
        <v>13</v>
      </c>
      <c r="S30">
        <v>71</v>
      </c>
      <c r="T30">
        <v>60</v>
      </c>
    </row>
    <row r="31" spans="1:20" x14ac:dyDescent="0.25">
      <c r="A31" s="17" t="s">
        <v>14</v>
      </c>
      <c r="B31" s="34">
        <v>52</v>
      </c>
      <c r="C31" s="34">
        <v>34</v>
      </c>
      <c r="D31" s="27">
        <v>0.65384615384615385</v>
      </c>
      <c r="E31" s="34">
        <v>56</v>
      </c>
      <c r="F31" s="34">
        <v>39</v>
      </c>
      <c r="G31" s="27">
        <v>0.6964285714285714</v>
      </c>
      <c r="H31" s="34">
        <v>67</v>
      </c>
      <c r="I31" s="34">
        <v>61</v>
      </c>
      <c r="J31" s="27">
        <v>0.91044776119402981</v>
      </c>
      <c r="K31" s="34">
        <v>67</v>
      </c>
      <c r="L31" s="34">
        <v>66</v>
      </c>
      <c r="M31" s="27">
        <v>0.9850746268656716</v>
      </c>
      <c r="N31" s="132">
        <v>49</v>
      </c>
      <c r="O31" s="132">
        <v>48</v>
      </c>
      <c r="P31" s="104">
        <f t="shared" si="0"/>
        <v>0.97959183673469385</v>
      </c>
      <c r="Q31" t="str">
        <f t="shared" si="1"/>
        <v>OK</v>
      </c>
      <c r="R31" t="s">
        <v>14</v>
      </c>
      <c r="S31">
        <v>49</v>
      </c>
      <c r="T31">
        <v>48</v>
      </c>
    </row>
    <row r="32" spans="1:20" x14ac:dyDescent="0.25">
      <c r="A32" s="17" t="s">
        <v>15</v>
      </c>
      <c r="B32" s="34">
        <v>72</v>
      </c>
      <c r="C32" s="34">
        <v>59</v>
      </c>
      <c r="D32" s="27">
        <v>0.81944444444444442</v>
      </c>
      <c r="E32" s="34">
        <v>72</v>
      </c>
      <c r="F32" s="34">
        <v>47</v>
      </c>
      <c r="G32" s="27">
        <v>0.65277777777777779</v>
      </c>
      <c r="H32" s="34">
        <v>72</v>
      </c>
      <c r="I32" s="34">
        <v>36</v>
      </c>
      <c r="J32" s="27">
        <v>0.5</v>
      </c>
      <c r="K32" s="34">
        <v>57</v>
      </c>
      <c r="L32" s="34">
        <v>57</v>
      </c>
      <c r="M32" s="27">
        <v>1</v>
      </c>
      <c r="N32" s="132">
        <v>43</v>
      </c>
      <c r="O32" s="132">
        <v>43</v>
      </c>
      <c r="P32" s="104">
        <f t="shared" si="0"/>
        <v>1</v>
      </c>
      <c r="Q32" t="str">
        <f t="shared" si="1"/>
        <v>OK</v>
      </c>
      <c r="R32" t="s">
        <v>15</v>
      </c>
      <c r="S32">
        <v>43</v>
      </c>
      <c r="T32">
        <v>43</v>
      </c>
    </row>
    <row r="33" spans="1:20" x14ac:dyDescent="0.25">
      <c r="A33" s="17" t="s">
        <v>16</v>
      </c>
      <c r="B33" s="34">
        <v>27</v>
      </c>
      <c r="C33" s="34">
        <v>6</v>
      </c>
      <c r="D33" s="27">
        <v>0.22222222222222221</v>
      </c>
      <c r="E33" s="34">
        <v>28</v>
      </c>
      <c r="F33" s="34">
        <v>13</v>
      </c>
      <c r="G33" s="27">
        <v>0.4642857142857143</v>
      </c>
      <c r="H33" s="34">
        <v>22</v>
      </c>
      <c r="I33" s="34">
        <v>14</v>
      </c>
      <c r="J33" s="27">
        <v>0.63636363636363635</v>
      </c>
      <c r="K33" s="34">
        <v>13</v>
      </c>
      <c r="L33" s="34">
        <v>10</v>
      </c>
      <c r="M33" s="27">
        <v>0.76923076923076927</v>
      </c>
      <c r="N33" s="132">
        <v>4</v>
      </c>
      <c r="O33" s="132">
        <v>3</v>
      </c>
      <c r="P33" s="104">
        <f t="shared" si="0"/>
        <v>0.75</v>
      </c>
      <c r="Q33" t="str">
        <f t="shared" si="1"/>
        <v>No</v>
      </c>
      <c r="R33" t="s">
        <v>379</v>
      </c>
      <c r="S33">
        <v>4</v>
      </c>
      <c r="T33">
        <v>3</v>
      </c>
    </row>
    <row r="34" spans="1:20" x14ac:dyDescent="0.25">
      <c r="A34" s="17" t="s">
        <v>17</v>
      </c>
      <c r="B34" s="34">
        <v>129</v>
      </c>
      <c r="C34" s="34">
        <v>119</v>
      </c>
      <c r="D34" s="27">
        <v>0.92248062015503873</v>
      </c>
      <c r="E34" s="34">
        <v>123</v>
      </c>
      <c r="F34" s="34">
        <v>122</v>
      </c>
      <c r="G34" s="27">
        <v>0.99186991869918695</v>
      </c>
      <c r="H34" s="34">
        <v>125</v>
      </c>
      <c r="I34" s="34">
        <v>123</v>
      </c>
      <c r="J34" s="27">
        <v>0.98399999999999999</v>
      </c>
      <c r="K34" s="34">
        <v>148</v>
      </c>
      <c r="L34" s="34">
        <v>146</v>
      </c>
      <c r="M34" s="27">
        <v>0.98648648648648651</v>
      </c>
      <c r="N34" s="132">
        <v>108</v>
      </c>
      <c r="O34" s="132">
        <v>108</v>
      </c>
      <c r="P34" s="104">
        <f t="shared" si="0"/>
        <v>1</v>
      </c>
      <c r="Q34" t="str">
        <f t="shared" si="1"/>
        <v>OK</v>
      </c>
      <c r="R34" t="s">
        <v>17</v>
      </c>
      <c r="S34">
        <v>108</v>
      </c>
      <c r="T34">
        <v>108</v>
      </c>
    </row>
    <row r="35" spans="1:20" x14ac:dyDescent="0.25">
      <c r="A35" s="17" t="s">
        <v>18</v>
      </c>
      <c r="B35" s="34">
        <v>451</v>
      </c>
      <c r="C35" s="34">
        <v>291</v>
      </c>
      <c r="D35" s="27">
        <v>0.64523281596452331</v>
      </c>
      <c r="E35" s="34">
        <v>477</v>
      </c>
      <c r="F35" s="34">
        <v>358</v>
      </c>
      <c r="G35" s="27">
        <v>0.75052410901467503</v>
      </c>
      <c r="H35" s="34">
        <v>490</v>
      </c>
      <c r="I35" s="34">
        <v>415</v>
      </c>
      <c r="J35" s="27">
        <v>0.84693877551020413</v>
      </c>
      <c r="K35" s="34">
        <v>512</v>
      </c>
      <c r="L35" s="34">
        <v>479</v>
      </c>
      <c r="M35" s="27">
        <v>0.935546875</v>
      </c>
      <c r="N35" s="132">
        <v>502</v>
      </c>
      <c r="O35" s="132">
        <v>449</v>
      </c>
      <c r="P35" s="104">
        <f t="shared" si="0"/>
        <v>0.89442231075697209</v>
      </c>
      <c r="Q35" t="str">
        <f t="shared" si="1"/>
        <v>OK</v>
      </c>
      <c r="R35" t="s">
        <v>18</v>
      </c>
      <c r="S35">
        <v>502</v>
      </c>
      <c r="T35">
        <v>449</v>
      </c>
    </row>
    <row r="36" spans="1:20" x14ac:dyDescent="0.25">
      <c r="A36" s="17" t="s">
        <v>19</v>
      </c>
      <c r="B36" s="34">
        <v>85</v>
      </c>
      <c r="C36" s="34">
        <v>75</v>
      </c>
      <c r="D36" s="27">
        <v>0.88235294117647056</v>
      </c>
      <c r="E36" s="34">
        <v>82</v>
      </c>
      <c r="F36" s="34">
        <v>77</v>
      </c>
      <c r="G36" s="27">
        <v>0.93902439024390238</v>
      </c>
      <c r="H36" s="34">
        <v>79</v>
      </c>
      <c r="I36" s="34">
        <v>79</v>
      </c>
      <c r="J36" s="27">
        <v>1</v>
      </c>
      <c r="K36" s="34">
        <v>78</v>
      </c>
      <c r="L36" s="34">
        <v>77</v>
      </c>
      <c r="M36" s="27">
        <v>0.98717948717948723</v>
      </c>
      <c r="N36" s="132">
        <v>50</v>
      </c>
      <c r="O36" s="132">
        <v>50</v>
      </c>
      <c r="P36" s="104">
        <f t="shared" si="0"/>
        <v>1</v>
      </c>
      <c r="Q36" t="str">
        <f t="shared" si="1"/>
        <v>OK</v>
      </c>
      <c r="R36" t="s">
        <v>19</v>
      </c>
      <c r="S36">
        <v>50</v>
      </c>
      <c r="T36">
        <v>50</v>
      </c>
    </row>
    <row r="37" spans="1:20" x14ac:dyDescent="0.25">
      <c r="A37" s="17" t="s">
        <v>31</v>
      </c>
      <c r="B37" s="34">
        <v>14</v>
      </c>
      <c r="C37" s="34">
        <v>8</v>
      </c>
      <c r="D37" s="27">
        <v>0.5714285714285714</v>
      </c>
      <c r="E37" s="34">
        <v>0</v>
      </c>
      <c r="F37" s="34">
        <v>0</v>
      </c>
      <c r="G37" s="27" t="e">
        <v>#DIV/0!</v>
      </c>
      <c r="H37" s="34"/>
      <c r="I37" s="34"/>
      <c r="J37" s="27" t="e">
        <v>#DIV/0!</v>
      </c>
      <c r="K37" s="34">
        <v>1</v>
      </c>
      <c r="L37" s="34">
        <v>1</v>
      </c>
      <c r="M37" s="27">
        <v>1</v>
      </c>
      <c r="N37" s="132"/>
      <c r="O37" s="132"/>
      <c r="P37" s="104" t="e">
        <f t="shared" si="0"/>
        <v>#DIV/0!</v>
      </c>
      <c r="Q37" t="str">
        <f t="shared" si="1"/>
        <v>No</v>
      </c>
      <c r="R37" t="s">
        <v>380</v>
      </c>
    </row>
    <row r="38" spans="1:20" x14ac:dyDescent="0.25">
      <c r="A38" s="17" t="s">
        <v>20</v>
      </c>
      <c r="B38" s="34">
        <v>3</v>
      </c>
      <c r="C38" s="34">
        <v>1</v>
      </c>
      <c r="D38" s="27">
        <v>0.33333333333333331</v>
      </c>
      <c r="E38" s="34">
        <v>4</v>
      </c>
      <c r="F38" s="34">
        <v>1</v>
      </c>
      <c r="G38" s="27">
        <v>0.25</v>
      </c>
      <c r="H38" s="34">
        <v>2</v>
      </c>
      <c r="I38" s="34">
        <v>2</v>
      </c>
      <c r="J38" s="27">
        <v>1</v>
      </c>
      <c r="K38" s="34">
        <v>5</v>
      </c>
      <c r="L38" s="34">
        <v>3</v>
      </c>
      <c r="M38" s="27">
        <v>0.6</v>
      </c>
      <c r="N38" s="132">
        <v>6</v>
      </c>
      <c r="O38" s="132">
        <v>3</v>
      </c>
      <c r="P38" s="104">
        <f t="shared" si="0"/>
        <v>0.5</v>
      </c>
      <c r="Q38" t="str">
        <f t="shared" si="1"/>
        <v>OK</v>
      </c>
      <c r="R38" t="s">
        <v>20</v>
      </c>
      <c r="S38">
        <v>6</v>
      </c>
      <c r="T38">
        <v>3</v>
      </c>
    </row>
    <row r="39" spans="1:20" x14ac:dyDescent="0.25">
      <c r="A39" s="17" t="s">
        <v>27</v>
      </c>
      <c r="B39" s="34">
        <v>1</v>
      </c>
      <c r="C39" s="34">
        <v>1</v>
      </c>
      <c r="D39" s="27">
        <v>1</v>
      </c>
      <c r="E39" s="34">
        <v>1</v>
      </c>
      <c r="F39" s="34">
        <v>1</v>
      </c>
      <c r="G39" s="27">
        <v>1</v>
      </c>
      <c r="H39" s="34"/>
      <c r="I39" s="34"/>
      <c r="J39" s="27" t="e">
        <v>#DIV/0!</v>
      </c>
      <c r="K39" s="34"/>
      <c r="L39" s="34"/>
      <c r="M39" s="27" t="e">
        <v>#DIV/0!</v>
      </c>
      <c r="N39" s="132"/>
      <c r="O39" s="132"/>
      <c r="P39" s="104" t="e">
        <f t="shared" si="0"/>
        <v>#DIV/0!</v>
      </c>
      <c r="Q39" t="str">
        <f t="shared" si="1"/>
        <v>OK</v>
      </c>
      <c r="R39" t="s">
        <v>27</v>
      </c>
    </row>
    <row r="40" spans="1:20" x14ac:dyDescent="0.25">
      <c r="A40" s="17" t="s">
        <v>32</v>
      </c>
      <c r="B40" s="34">
        <v>39</v>
      </c>
      <c r="C40" s="34">
        <v>30</v>
      </c>
      <c r="D40" s="27">
        <v>0.76923076923076927</v>
      </c>
      <c r="E40" s="34">
        <v>40</v>
      </c>
      <c r="F40" s="34">
        <v>38</v>
      </c>
      <c r="G40" s="27">
        <v>0.95</v>
      </c>
      <c r="H40" s="34">
        <v>40</v>
      </c>
      <c r="I40" s="34">
        <v>39</v>
      </c>
      <c r="J40" s="27">
        <v>0.97499999999999998</v>
      </c>
      <c r="K40" s="34">
        <v>42</v>
      </c>
      <c r="L40" s="34">
        <v>40</v>
      </c>
      <c r="M40" s="27">
        <v>0.95238095238095233</v>
      </c>
      <c r="N40" s="132"/>
      <c r="O40" s="132"/>
      <c r="P40" s="104" t="e">
        <f t="shared" si="0"/>
        <v>#DIV/0!</v>
      </c>
      <c r="Q40" t="str">
        <f t="shared" si="1"/>
        <v>OK</v>
      </c>
      <c r="R40" t="s">
        <v>32</v>
      </c>
    </row>
    <row r="41" spans="1:20" x14ac:dyDescent="0.25">
      <c r="A41" s="17" t="s">
        <v>21</v>
      </c>
      <c r="B41" s="34">
        <v>57</v>
      </c>
      <c r="C41" s="34">
        <v>39</v>
      </c>
      <c r="D41" s="27">
        <v>0.68421052631578949</v>
      </c>
      <c r="E41" s="34">
        <v>63</v>
      </c>
      <c r="F41" s="34">
        <v>51</v>
      </c>
      <c r="G41" s="27">
        <v>0.80952380952380953</v>
      </c>
      <c r="H41" s="34">
        <v>48</v>
      </c>
      <c r="I41" s="34">
        <v>46</v>
      </c>
      <c r="J41" s="27">
        <v>0.95833333333333337</v>
      </c>
      <c r="K41" s="34">
        <v>64</v>
      </c>
      <c r="L41" s="34">
        <v>59</v>
      </c>
      <c r="M41" s="27">
        <v>0.921875</v>
      </c>
      <c r="N41" s="132">
        <v>42</v>
      </c>
      <c r="O41" s="132">
        <v>40</v>
      </c>
      <c r="P41" s="104">
        <f t="shared" si="0"/>
        <v>0.95238095238095233</v>
      </c>
      <c r="Q41" t="str">
        <f t="shared" si="1"/>
        <v>OK</v>
      </c>
      <c r="R41" t="s">
        <v>21</v>
      </c>
      <c r="S41">
        <v>42</v>
      </c>
      <c r="T41">
        <v>40</v>
      </c>
    </row>
    <row r="42" spans="1:20" x14ac:dyDescent="0.25">
      <c r="A42" s="17" t="s">
        <v>43</v>
      </c>
      <c r="B42" s="34">
        <v>115</v>
      </c>
      <c r="C42" s="34">
        <v>103</v>
      </c>
      <c r="D42" s="27">
        <v>0.89565217391304353</v>
      </c>
      <c r="E42" s="34">
        <v>126</v>
      </c>
      <c r="F42" s="34">
        <v>76</v>
      </c>
      <c r="G42" s="27">
        <v>0.60317460317460314</v>
      </c>
      <c r="H42" s="34">
        <v>135</v>
      </c>
      <c r="I42" s="34">
        <v>79</v>
      </c>
      <c r="J42" s="27">
        <v>0.58518518518518514</v>
      </c>
      <c r="K42" s="34">
        <v>135</v>
      </c>
      <c r="L42" s="34">
        <v>105</v>
      </c>
      <c r="M42" s="27">
        <v>0.77777777777777779</v>
      </c>
      <c r="N42" s="132">
        <v>100</v>
      </c>
      <c r="O42" s="132">
        <v>84</v>
      </c>
      <c r="P42" s="104">
        <f t="shared" si="0"/>
        <v>0.84</v>
      </c>
      <c r="Q42" t="str">
        <f t="shared" si="1"/>
        <v>OK</v>
      </c>
      <c r="R42" t="s">
        <v>43</v>
      </c>
      <c r="S42">
        <v>100</v>
      </c>
      <c r="T42">
        <v>84</v>
      </c>
    </row>
    <row r="43" spans="1:20" x14ac:dyDescent="0.25">
      <c r="A43" s="17" t="s">
        <v>44</v>
      </c>
      <c r="B43" s="34">
        <v>323</v>
      </c>
      <c r="C43" s="34">
        <v>251</v>
      </c>
      <c r="D43" s="27">
        <v>0.77708978328173373</v>
      </c>
      <c r="E43" s="34">
        <v>147</v>
      </c>
      <c r="F43" s="34">
        <v>129</v>
      </c>
      <c r="G43" s="27">
        <v>0.87755102040816324</v>
      </c>
      <c r="H43" s="34">
        <v>199</v>
      </c>
      <c r="I43" s="34">
        <v>180</v>
      </c>
      <c r="J43" s="27">
        <v>0.90452261306532666</v>
      </c>
      <c r="K43" s="34">
        <v>191</v>
      </c>
      <c r="L43" s="34">
        <v>189</v>
      </c>
      <c r="M43" s="27">
        <v>0.98952879581151831</v>
      </c>
      <c r="N43" s="132">
        <v>106</v>
      </c>
      <c r="O43" s="132">
        <v>87</v>
      </c>
      <c r="P43" s="104">
        <f t="shared" si="0"/>
        <v>0.82075471698113212</v>
      </c>
      <c r="Q43" t="str">
        <f t="shared" si="1"/>
        <v>OK</v>
      </c>
      <c r="R43" t="s">
        <v>44</v>
      </c>
      <c r="S43">
        <v>106</v>
      </c>
      <c r="T43">
        <v>87</v>
      </c>
    </row>
    <row r="44" spans="1:20" x14ac:dyDescent="0.25">
      <c r="A44" s="17" t="s">
        <v>35</v>
      </c>
      <c r="B44" s="34">
        <v>3</v>
      </c>
      <c r="C44" s="34">
        <v>3</v>
      </c>
      <c r="D44" s="27">
        <v>1</v>
      </c>
      <c r="E44" s="34">
        <v>2</v>
      </c>
      <c r="F44" s="34">
        <v>0</v>
      </c>
      <c r="G44" s="27">
        <v>0</v>
      </c>
      <c r="H44" s="34">
        <v>2</v>
      </c>
      <c r="I44" s="34">
        <v>1</v>
      </c>
      <c r="J44" s="27">
        <v>0.5</v>
      </c>
      <c r="K44" s="34">
        <v>3</v>
      </c>
      <c r="L44" s="34">
        <v>2</v>
      </c>
      <c r="M44" s="27">
        <v>0.66666666666666663</v>
      </c>
      <c r="N44" s="132"/>
      <c r="O44" s="132"/>
      <c r="P44" s="104" t="e">
        <f t="shared" si="0"/>
        <v>#DIV/0!</v>
      </c>
      <c r="Q44" t="str">
        <f t="shared" si="1"/>
        <v>OK</v>
      </c>
      <c r="R44" t="s">
        <v>35</v>
      </c>
    </row>
    <row r="45" spans="1:20" x14ac:dyDescent="0.25">
      <c r="A45" s="17" t="s">
        <v>36</v>
      </c>
      <c r="B45" s="34">
        <v>0</v>
      </c>
      <c r="C45" s="34">
        <v>0</v>
      </c>
      <c r="D45" s="27" t="e">
        <v>#DIV/0!</v>
      </c>
      <c r="E45" s="34">
        <v>0</v>
      </c>
      <c r="F45" s="34">
        <v>0</v>
      </c>
      <c r="G45" s="27" t="e">
        <v>#DIV/0!</v>
      </c>
      <c r="H45" s="34"/>
      <c r="I45" s="34"/>
      <c r="J45" s="27" t="e">
        <v>#DIV/0!</v>
      </c>
      <c r="K45" s="34">
        <v>0</v>
      </c>
      <c r="L45" s="34"/>
      <c r="M45" s="27" t="e">
        <v>#DIV/0!</v>
      </c>
      <c r="N45" s="132"/>
      <c r="O45" s="132"/>
      <c r="P45" s="104" t="e">
        <f t="shared" si="0"/>
        <v>#DIV/0!</v>
      </c>
      <c r="Q45" t="str">
        <f t="shared" si="1"/>
        <v>OK</v>
      </c>
      <c r="R45" t="s">
        <v>36</v>
      </c>
    </row>
    <row r="46" spans="1:20" x14ac:dyDescent="0.25">
      <c r="A46" s="17" t="s">
        <v>37</v>
      </c>
      <c r="B46" s="34">
        <v>1</v>
      </c>
      <c r="C46" s="34">
        <v>1</v>
      </c>
      <c r="D46" s="27">
        <v>1</v>
      </c>
      <c r="E46" s="34">
        <v>2</v>
      </c>
      <c r="F46" s="34">
        <v>1</v>
      </c>
      <c r="G46" s="27">
        <v>0.5</v>
      </c>
      <c r="H46" s="34">
        <v>2</v>
      </c>
      <c r="I46" s="34">
        <v>2</v>
      </c>
      <c r="J46" s="27">
        <v>1</v>
      </c>
      <c r="K46" s="34">
        <v>2</v>
      </c>
      <c r="L46" s="34">
        <v>1</v>
      </c>
      <c r="M46" s="27">
        <v>0.5</v>
      </c>
      <c r="N46" s="132">
        <v>1</v>
      </c>
      <c r="O46" s="132">
        <v>1</v>
      </c>
      <c r="P46" s="104">
        <f t="shared" si="0"/>
        <v>1</v>
      </c>
      <c r="Q46" t="str">
        <f t="shared" si="1"/>
        <v>OK</v>
      </c>
      <c r="R46" t="s">
        <v>37</v>
      </c>
      <c r="S46">
        <v>1</v>
      </c>
      <c r="T46">
        <v>1</v>
      </c>
    </row>
    <row r="47" spans="1:20" x14ac:dyDescent="0.25">
      <c r="A47" s="17" t="s">
        <v>38</v>
      </c>
      <c r="B47" s="34">
        <v>27</v>
      </c>
      <c r="C47" s="34">
        <v>25</v>
      </c>
      <c r="D47" s="27">
        <v>0.92592592592592593</v>
      </c>
      <c r="E47" s="34">
        <v>24</v>
      </c>
      <c r="F47" s="34">
        <v>8</v>
      </c>
      <c r="G47" s="27">
        <v>0.33333333333333331</v>
      </c>
      <c r="H47" s="34">
        <v>22</v>
      </c>
      <c r="I47" s="34">
        <v>20</v>
      </c>
      <c r="J47" s="27">
        <v>0.90909090909090906</v>
      </c>
      <c r="K47" s="34">
        <v>19</v>
      </c>
      <c r="L47" s="34">
        <v>17</v>
      </c>
      <c r="M47" s="27">
        <v>0.89473684210526316</v>
      </c>
      <c r="N47" s="132">
        <v>15</v>
      </c>
      <c r="O47" s="132">
        <v>14</v>
      </c>
      <c r="P47" s="104">
        <f t="shared" si="0"/>
        <v>0.93333333333333335</v>
      </c>
      <c r="Q47" t="str">
        <f t="shared" si="1"/>
        <v>OK</v>
      </c>
      <c r="R47" t="s">
        <v>38</v>
      </c>
      <c r="S47">
        <v>15</v>
      </c>
      <c r="T47">
        <v>14</v>
      </c>
    </row>
    <row r="48" spans="1:20" x14ac:dyDescent="0.25">
      <c r="A48" s="17" t="s">
        <v>39</v>
      </c>
      <c r="B48" s="34">
        <v>0</v>
      </c>
      <c r="C48" s="34">
        <v>0</v>
      </c>
      <c r="D48" s="27" t="e">
        <v>#DIV/0!</v>
      </c>
      <c r="E48" s="34">
        <v>0</v>
      </c>
      <c r="F48" s="34">
        <v>0</v>
      </c>
      <c r="G48" s="27" t="e">
        <v>#DIV/0!</v>
      </c>
      <c r="H48" s="34"/>
      <c r="I48" s="34"/>
      <c r="J48" s="27" t="e">
        <v>#DIV/0!</v>
      </c>
      <c r="K48" s="34">
        <v>0</v>
      </c>
      <c r="L48" s="34"/>
      <c r="M48" s="27" t="e">
        <v>#DIV/0!</v>
      </c>
      <c r="N48" s="132"/>
      <c r="O48" s="132"/>
      <c r="P48" s="104" t="e">
        <f t="shared" si="0"/>
        <v>#DIV/0!</v>
      </c>
      <c r="Q48" t="str">
        <f t="shared" si="1"/>
        <v>OK</v>
      </c>
      <c r="R48" t="s">
        <v>39</v>
      </c>
    </row>
    <row r="49" spans="1:20" x14ac:dyDescent="0.25">
      <c r="A49" s="17" t="s">
        <v>40</v>
      </c>
      <c r="B49" s="34">
        <v>103</v>
      </c>
      <c r="C49" s="34">
        <v>93</v>
      </c>
      <c r="D49" s="27">
        <v>0.90291262135922334</v>
      </c>
      <c r="E49" s="34">
        <v>76</v>
      </c>
      <c r="F49" s="34">
        <v>60</v>
      </c>
      <c r="G49" s="27">
        <v>0.78947368421052633</v>
      </c>
      <c r="H49" s="34">
        <v>60</v>
      </c>
      <c r="I49" s="34">
        <v>44</v>
      </c>
      <c r="J49" s="27">
        <v>0.73333333333333328</v>
      </c>
      <c r="K49" s="34">
        <v>58</v>
      </c>
      <c r="L49" s="34">
        <v>56</v>
      </c>
      <c r="M49" s="27">
        <v>0.96551724137931039</v>
      </c>
      <c r="N49" s="132">
        <v>6</v>
      </c>
      <c r="O49" s="132">
        <v>6</v>
      </c>
      <c r="P49" s="104">
        <f t="shared" si="0"/>
        <v>1</v>
      </c>
      <c r="Q49" t="str">
        <f t="shared" si="1"/>
        <v>OK</v>
      </c>
      <c r="R49" t="s">
        <v>40</v>
      </c>
      <c r="S49">
        <v>6</v>
      </c>
      <c r="T49">
        <v>6</v>
      </c>
    </row>
    <row r="50" spans="1:20" x14ac:dyDescent="0.25">
      <c r="A50" s="17" t="s">
        <v>41</v>
      </c>
      <c r="B50" s="34">
        <v>42</v>
      </c>
      <c r="C50" s="34">
        <v>27</v>
      </c>
      <c r="D50" s="27">
        <v>0.6428571428571429</v>
      </c>
      <c r="E50" s="34">
        <v>46</v>
      </c>
      <c r="F50" s="34">
        <v>32</v>
      </c>
      <c r="G50" s="27">
        <v>0.69565217391304346</v>
      </c>
      <c r="H50" s="34">
        <v>39</v>
      </c>
      <c r="I50" s="34">
        <v>37</v>
      </c>
      <c r="J50" s="27">
        <v>0.94871794871794868</v>
      </c>
      <c r="K50" s="34">
        <v>40</v>
      </c>
      <c r="L50" s="34">
        <v>37</v>
      </c>
      <c r="M50" s="27">
        <v>0.92500000000000004</v>
      </c>
      <c r="N50" s="132">
        <v>15</v>
      </c>
      <c r="O50" s="132">
        <v>15</v>
      </c>
      <c r="P50" s="104">
        <f t="shared" si="0"/>
        <v>1</v>
      </c>
      <c r="Q50" t="str">
        <f t="shared" si="1"/>
        <v>OK</v>
      </c>
      <c r="R50" t="s">
        <v>41</v>
      </c>
      <c r="S50">
        <v>15</v>
      </c>
      <c r="T50">
        <v>15</v>
      </c>
    </row>
    <row r="51" spans="1:20" x14ac:dyDescent="0.25">
      <c r="A51" s="17" t="s">
        <v>42</v>
      </c>
      <c r="B51" s="34">
        <v>155</v>
      </c>
      <c r="C51" s="34">
        <v>127</v>
      </c>
      <c r="D51" s="27">
        <v>0.8193548387096774</v>
      </c>
      <c r="E51" s="34">
        <v>152</v>
      </c>
      <c r="F51" s="34">
        <v>127</v>
      </c>
      <c r="G51" s="27">
        <v>0.83552631578947367</v>
      </c>
      <c r="H51" s="34">
        <v>153</v>
      </c>
      <c r="I51" s="34">
        <v>123</v>
      </c>
      <c r="J51" s="27">
        <v>0.80392156862745101</v>
      </c>
      <c r="K51" s="34">
        <v>139</v>
      </c>
      <c r="L51" s="34">
        <v>122</v>
      </c>
      <c r="M51" s="27">
        <v>0.87769784172661869</v>
      </c>
      <c r="N51" s="132">
        <v>94</v>
      </c>
      <c r="O51" s="132">
        <v>82</v>
      </c>
      <c r="P51" s="104">
        <f t="shared" si="0"/>
        <v>0.87234042553191493</v>
      </c>
      <c r="Q51" t="str">
        <f t="shared" si="1"/>
        <v>OK</v>
      </c>
      <c r="R51" t="s">
        <v>42</v>
      </c>
      <c r="S51">
        <v>94</v>
      </c>
      <c r="T51">
        <v>82</v>
      </c>
    </row>
    <row r="52" spans="1:20" x14ac:dyDescent="0.25">
      <c r="A52" s="17"/>
      <c r="B52" s="34"/>
      <c r="C52" s="34"/>
      <c r="D52" s="35"/>
      <c r="E52" s="34"/>
      <c r="F52" s="34"/>
      <c r="G52" s="35"/>
      <c r="H52" s="34"/>
      <c r="I52" s="34"/>
      <c r="J52" s="35"/>
      <c r="K52" s="34"/>
      <c r="L52" s="34"/>
      <c r="M52" s="35"/>
      <c r="N52" s="132"/>
      <c r="O52" s="132"/>
      <c r="P52" s="106"/>
    </row>
    <row r="53" spans="1:20" ht="15.75" thickBot="1" x14ac:dyDescent="0.3">
      <c r="A53" s="26" t="s">
        <v>129</v>
      </c>
      <c r="B53" s="29">
        <v>10561</v>
      </c>
      <c r="C53" s="29">
        <v>8175</v>
      </c>
      <c r="D53" s="28">
        <v>0.77407442477038158</v>
      </c>
      <c r="E53" s="29">
        <v>10614</v>
      </c>
      <c r="F53" s="29">
        <v>7941</v>
      </c>
      <c r="G53" s="28">
        <v>0.7481628038439796</v>
      </c>
      <c r="H53" s="29">
        <v>10949</v>
      </c>
      <c r="I53" s="29">
        <v>9071</v>
      </c>
      <c r="J53" s="28">
        <v>0.8284774865284501</v>
      </c>
      <c r="K53" s="29">
        <v>11125</v>
      </c>
      <c r="L53" s="29">
        <v>10166</v>
      </c>
      <c r="M53" s="28">
        <v>0.91379775280898878</v>
      </c>
      <c r="N53" s="131">
        <f>SUM(N6:N51)</f>
        <v>9799</v>
      </c>
      <c r="O53" s="131">
        <f>SUM(O6:O51)</f>
        <v>8838</v>
      </c>
      <c r="P53" s="105">
        <f>O53/N53</f>
        <v>0.90192876824165735</v>
      </c>
    </row>
    <row r="54" spans="1:20" ht="15.75" thickTop="1"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54"/>
  <sheetViews>
    <sheetView zoomScaleNormal="100" workbookViewId="0">
      <pane xSplit="1" ySplit="5" topLeftCell="B27" activePane="bottomRight" state="frozen"/>
      <selection activeCell="C8" sqref="C8"/>
      <selection pane="topRight" activeCell="C8" sqref="C8"/>
      <selection pane="bottomLeft" activeCell="C8" sqref="C8"/>
      <selection pane="bottomRight" activeCell="C8" sqref="C8"/>
    </sheetView>
  </sheetViews>
  <sheetFormatPr defaultRowHeight="15" x14ac:dyDescent="0.25"/>
  <cols>
    <col min="1" max="1" width="49.28515625" bestFit="1" customWidth="1"/>
    <col min="6" max="6" width="2.7109375" customWidth="1"/>
    <col min="16" max="16" width="31.7109375" customWidth="1"/>
    <col min="17" max="17" width="27.140625" customWidth="1"/>
    <col min="18" max="18" width="25.7109375" customWidth="1"/>
  </cols>
  <sheetData>
    <row r="1" spans="1:18" x14ac:dyDescent="0.25">
      <c r="A1" s="30">
        <v>1</v>
      </c>
      <c r="B1" s="30">
        <v>2</v>
      </c>
      <c r="C1" s="30">
        <v>3</v>
      </c>
      <c r="D1" s="30">
        <v>4</v>
      </c>
      <c r="E1" s="30">
        <v>5</v>
      </c>
      <c r="F1" s="30">
        <v>6</v>
      </c>
      <c r="G1" s="30">
        <v>7</v>
      </c>
      <c r="H1" s="30">
        <v>8</v>
      </c>
      <c r="I1" s="30">
        <v>9</v>
      </c>
      <c r="J1" s="30">
        <v>10</v>
      </c>
      <c r="K1" s="30">
        <v>11</v>
      </c>
      <c r="L1" s="30">
        <v>12</v>
      </c>
      <c r="M1" s="30">
        <v>13</v>
      </c>
      <c r="N1" s="30">
        <v>14</v>
      </c>
    </row>
    <row r="2" spans="1:18" x14ac:dyDescent="0.25">
      <c r="A2" s="17"/>
      <c r="B2" s="74" t="s">
        <v>131</v>
      </c>
      <c r="C2" s="98"/>
      <c r="D2" s="98"/>
      <c r="E2" s="75"/>
      <c r="F2" s="92"/>
      <c r="G2" s="75"/>
      <c r="H2" s="75"/>
      <c r="I2" s="75"/>
      <c r="J2" s="75"/>
      <c r="K2" s="75"/>
      <c r="L2" s="75"/>
      <c r="M2" s="75"/>
      <c r="N2" s="75"/>
    </row>
    <row r="3" spans="1:18" x14ac:dyDescent="0.25">
      <c r="A3" s="17"/>
      <c r="B3" s="120" t="s">
        <v>130</v>
      </c>
      <c r="C3" s="108"/>
      <c r="D3" s="113"/>
      <c r="E3" s="108"/>
      <c r="F3" s="122"/>
      <c r="G3" s="119" t="s">
        <v>220</v>
      </c>
      <c r="H3" s="108"/>
      <c r="I3" s="108"/>
      <c r="J3" s="108"/>
      <c r="K3" s="113"/>
      <c r="L3" s="113"/>
      <c r="M3" s="108"/>
      <c r="N3" s="108"/>
    </row>
    <row r="4" spans="1:18" x14ac:dyDescent="0.25">
      <c r="A4" s="17"/>
      <c r="B4" s="16">
        <v>2015</v>
      </c>
      <c r="C4" s="99">
        <v>2017</v>
      </c>
      <c r="D4" s="99">
        <v>2018</v>
      </c>
      <c r="E4" s="16">
        <v>2019</v>
      </c>
      <c r="F4" s="99"/>
      <c r="G4" s="16">
        <v>2015</v>
      </c>
      <c r="H4" s="16">
        <v>2015</v>
      </c>
      <c r="I4" s="16">
        <v>2017</v>
      </c>
      <c r="J4" s="16">
        <v>2017</v>
      </c>
      <c r="K4" s="16">
        <v>2018</v>
      </c>
      <c r="L4" s="16">
        <v>2018</v>
      </c>
      <c r="M4" s="16">
        <v>2019</v>
      </c>
      <c r="N4" s="16">
        <v>2019</v>
      </c>
    </row>
    <row r="5" spans="1:18" ht="26.25" x14ac:dyDescent="0.25">
      <c r="A5" s="41" t="s">
        <v>45</v>
      </c>
      <c r="B5" s="42" t="s">
        <v>48</v>
      </c>
      <c r="C5" s="100" t="s">
        <v>48</v>
      </c>
      <c r="D5" s="100" t="s">
        <v>48</v>
      </c>
      <c r="E5" s="42" t="s">
        <v>48</v>
      </c>
      <c r="F5" s="100"/>
      <c r="G5" s="42" t="s">
        <v>48</v>
      </c>
      <c r="H5" s="42" t="s">
        <v>52</v>
      </c>
      <c r="I5" s="42" t="s">
        <v>48</v>
      </c>
      <c r="J5" s="42" t="s">
        <v>52</v>
      </c>
      <c r="K5" s="42" t="s">
        <v>48</v>
      </c>
      <c r="L5" s="42" t="s">
        <v>52</v>
      </c>
      <c r="M5" s="42" t="s">
        <v>48</v>
      </c>
      <c r="N5" s="42" t="s">
        <v>52</v>
      </c>
      <c r="P5" s="291" t="s">
        <v>335</v>
      </c>
      <c r="Q5" s="292" t="s">
        <v>336</v>
      </c>
      <c r="R5" s="292" t="s">
        <v>337</v>
      </c>
    </row>
    <row r="6" spans="1:18" x14ac:dyDescent="0.25">
      <c r="A6" s="17" t="s">
        <v>0</v>
      </c>
      <c r="B6" s="14">
        <v>5</v>
      </c>
      <c r="C6" s="95">
        <v>4</v>
      </c>
      <c r="D6" s="95">
        <v>10</v>
      </c>
      <c r="E6" s="57">
        <v>12</v>
      </c>
      <c r="F6" s="95"/>
      <c r="G6" s="14">
        <v>2</v>
      </c>
      <c r="H6" s="27">
        <v>0.4</v>
      </c>
      <c r="I6" s="103">
        <v>3</v>
      </c>
      <c r="J6" s="27">
        <v>0.75</v>
      </c>
      <c r="K6" s="103">
        <v>5</v>
      </c>
      <c r="L6" s="27">
        <v>0.5</v>
      </c>
      <c r="M6" s="56">
        <v>5</v>
      </c>
      <c r="N6" s="104">
        <f t="shared" ref="N6:N51" si="0">M6/E6</f>
        <v>0.41666666666666669</v>
      </c>
      <c r="O6" s="214" t="str">
        <f>IF(P6=A6,"OK","No")</f>
        <v>No</v>
      </c>
      <c r="P6" s="293" t="s">
        <v>375</v>
      </c>
      <c r="Q6" s="294">
        <v>12</v>
      </c>
      <c r="R6" s="294">
        <v>5</v>
      </c>
    </row>
    <row r="7" spans="1:18" x14ac:dyDescent="0.25">
      <c r="A7" s="17" t="s">
        <v>26</v>
      </c>
      <c r="B7" s="14">
        <v>78</v>
      </c>
      <c r="C7" s="14">
        <v>73</v>
      </c>
      <c r="D7" s="14">
        <v>76</v>
      </c>
      <c r="E7" s="56">
        <v>81</v>
      </c>
      <c r="F7" s="14"/>
      <c r="G7" s="14">
        <v>4</v>
      </c>
      <c r="H7" s="27">
        <v>5.128205128205128E-2</v>
      </c>
      <c r="I7" s="103">
        <v>64</v>
      </c>
      <c r="J7" s="27">
        <v>0.87671232876712324</v>
      </c>
      <c r="K7" s="103">
        <v>59</v>
      </c>
      <c r="L7" s="27">
        <v>0.77631578947368418</v>
      </c>
      <c r="M7" s="56">
        <v>71</v>
      </c>
      <c r="N7" s="104">
        <f t="shared" si="0"/>
        <v>0.87654320987654322</v>
      </c>
      <c r="O7" s="214" t="str">
        <f t="shared" ref="O7:O51" si="1">IF(P7=A7,"OK","No")</f>
        <v>OK</v>
      </c>
      <c r="P7" s="293" t="s">
        <v>26</v>
      </c>
      <c r="Q7" s="294">
        <v>81</v>
      </c>
      <c r="R7" s="294">
        <v>71</v>
      </c>
    </row>
    <row r="8" spans="1:18" x14ac:dyDescent="0.25">
      <c r="A8" s="17" t="s">
        <v>1</v>
      </c>
      <c r="B8" s="14">
        <v>134</v>
      </c>
      <c r="C8" s="95">
        <v>184</v>
      </c>
      <c r="D8" s="95">
        <v>188</v>
      </c>
      <c r="E8" s="57">
        <v>223</v>
      </c>
      <c r="F8" s="95"/>
      <c r="G8" s="14">
        <v>44</v>
      </c>
      <c r="H8" s="27">
        <v>0.32835820895522388</v>
      </c>
      <c r="I8" s="103">
        <v>57</v>
      </c>
      <c r="J8" s="27">
        <v>0.30978260869565216</v>
      </c>
      <c r="K8" s="103">
        <v>45</v>
      </c>
      <c r="L8" s="27">
        <v>0.23936170212765959</v>
      </c>
      <c r="M8" s="56">
        <v>60</v>
      </c>
      <c r="N8" s="104">
        <f t="shared" si="0"/>
        <v>0.26905829596412556</v>
      </c>
      <c r="O8" s="214" t="str">
        <f t="shared" si="1"/>
        <v>OK</v>
      </c>
      <c r="P8" s="293" t="s">
        <v>1</v>
      </c>
      <c r="Q8" s="294">
        <v>223</v>
      </c>
      <c r="R8" s="294">
        <v>60</v>
      </c>
    </row>
    <row r="9" spans="1:18" x14ac:dyDescent="0.25">
      <c r="A9" s="17" t="s">
        <v>2</v>
      </c>
      <c r="B9" s="14">
        <v>168</v>
      </c>
      <c r="C9" s="95">
        <v>267</v>
      </c>
      <c r="D9" s="95">
        <v>278</v>
      </c>
      <c r="E9" s="57">
        <v>291</v>
      </c>
      <c r="F9" s="95"/>
      <c r="G9" s="14">
        <v>103</v>
      </c>
      <c r="H9" s="27">
        <v>0.61309523809523814</v>
      </c>
      <c r="I9" s="103">
        <v>153</v>
      </c>
      <c r="J9" s="27">
        <v>0.5730337078651685</v>
      </c>
      <c r="K9" s="103">
        <v>162</v>
      </c>
      <c r="L9" s="27">
        <v>0.58273381294964033</v>
      </c>
      <c r="M9" s="56">
        <v>187</v>
      </c>
      <c r="N9" s="104">
        <f t="shared" si="0"/>
        <v>0.6426116838487973</v>
      </c>
      <c r="O9" s="214" t="str">
        <f t="shared" si="1"/>
        <v>OK</v>
      </c>
      <c r="P9" s="293" t="s">
        <v>2</v>
      </c>
      <c r="Q9" s="294">
        <v>291</v>
      </c>
      <c r="R9" s="294">
        <v>187</v>
      </c>
    </row>
    <row r="10" spans="1:18" x14ac:dyDescent="0.25">
      <c r="A10" s="17" t="s">
        <v>3</v>
      </c>
      <c r="B10" s="14">
        <v>8</v>
      </c>
      <c r="C10" s="95">
        <v>36</v>
      </c>
      <c r="D10" s="95">
        <v>37</v>
      </c>
      <c r="E10" s="57">
        <v>40</v>
      </c>
      <c r="F10" s="95"/>
      <c r="G10" s="14">
        <v>5</v>
      </c>
      <c r="H10" s="27">
        <v>0.625</v>
      </c>
      <c r="I10" s="103">
        <v>35</v>
      </c>
      <c r="J10" s="27">
        <v>0.97222222222222221</v>
      </c>
      <c r="K10" s="103">
        <v>31</v>
      </c>
      <c r="L10" s="27">
        <v>0.83783783783783783</v>
      </c>
      <c r="M10" s="56">
        <v>35</v>
      </c>
      <c r="N10" s="104">
        <f t="shared" si="0"/>
        <v>0.875</v>
      </c>
      <c r="O10" s="214" t="str">
        <f t="shared" si="1"/>
        <v>OK</v>
      </c>
      <c r="P10" s="293" t="s">
        <v>3</v>
      </c>
      <c r="Q10" s="294">
        <v>40</v>
      </c>
      <c r="R10" s="294">
        <v>35</v>
      </c>
    </row>
    <row r="11" spans="1:18" x14ac:dyDescent="0.25">
      <c r="A11" s="17" t="s">
        <v>33</v>
      </c>
      <c r="B11" s="14">
        <v>11</v>
      </c>
      <c r="C11" s="95">
        <v>16</v>
      </c>
      <c r="D11" s="95">
        <v>16</v>
      </c>
      <c r="E11" s="57">
        <v>18</v>
      </c>
      <c r="F11" s="95"/>
      <c r="G11" s="14">
        <v>6</v>
      </c>
      <c r="H11" s="27">
        <v>0.54545454545454541</v>
      </c>
      <c r="I11" s="103">
        <v>10</v>
      </c>
      <c r="J11" s="27">
        <v>0.625</v>
      </c>
      <c r="K11" s="103">
        <v>8</v>
      </c>
      <c r="L11" s="27">
        <v>0.5</v>
      </c>
      <c r="M11" s="56">
        <v>11</v>
      </c>
      <c r="N11" s="104">
        <f t="shared" si="0"/>
        <v>0.61111111111111116</v>
      </c>
      <c r="O11" s="214" t="str">
        <f t="shared" si="1"/>
        <v>OK</v>
      </c>
      <c r="P11" s="293" t="s">
        <v>33</v>
      </c>
      <c r="Q11" s="294">
        <v>18</v>
      </c>
      <c r="R11" s="294">
        <v>11</v>
      </c>
    </row>
    <row r="12" spans="1:18" x14ac:dyDescent="0.25">
      <c r="A12" s="17" t="s">
        <v>23</v>
      </c>
      <c r="B12" s="14">
        <v>61</v>
      </c>
      <c r="C12" s="95">
        <v>70</v>
      </c>
      <c r="D12" s="95">
        <v>128</v>
      </c>
      <c r="E12" s="57">
        <v>143</v>
      </c>
      <c r="F12" s="95"/>
      <c r="G12" s="14">
        <v>19</v>
      </c>
      <c r="H12" s="27">
        <v>0.31147540983606559</v>
      </c>
      <c r="I12" s="103">
        <v>40</v>
      </c>
      <c r="J12" s="27">
        <v>0.5714285714285714</v>
      </c>
      <c r="K12" s="103">
        <v>16</v>
      </c>
      <c r="L12" s="27">
        <v>0.125</v>
      </c>
      <c r="M12" s="56">
        <v>25</v>
      </c>
      <c r="N12" s="104">
        <f t="shared" si="0"/>
        <v>0.17482517482517482</v>
      </c>
      <c r="O12" s="214" t="str">
        <f t="shared" si="1"/>
        <v>No</v>
      </c>
      <c r="P12" s="293" t="s">
        <v>338</v>
      </c>
      <c r="Q12" s="294">
        <v>143</v>
      </c>
      <c r="R12" s="294">
        <v>25</v>
      </c>
    </row>
    <row r="13" spans="1:18" x14ac:dyDescent="0.25">
      <c r="A13" s="17" t="s">
        <v>4</v>
      </c>
      <c r="B13" s="14">
        <v>69</v>
      </c>
      <c r="C13" s="95">
        <v>70</v>
      </c>
      <c r="D13" s="95">
        <v>76</v>
      </c>
      <c r="E13" s="57">
        <v>76</v>
      </c>
      <c r="F13" s="95"/>
      <c r="G13" s="14">
        <v>38</v>
      </c>
      <c r="H13" s="27">
        <v>0.55072463768115942</v>
      </c>
      <c r="I13" s="103">
        <v>52</v>
      </c>
      <c r="J13" s="27">
        <v>0.74285714285714288</v>
      </c>
      <c r="K13" s="103">
        <v>62</v>
      </c>
      <c r="L13" s="27">
        <v>0.81578947368421051</v>
      </c>
      <c r="M13" s="56">
        <v>56</v>
      </c>
      <c r="N13" s="104">
        <f t="shared" si="0"/>
        <v>0.73684210526315785</v>
      </c>
      <c r="O13" s="214" t="str">
        <f t="shared" si="1"/>
        <v>OK</v>
      </c>
      <c r="P13" s="293" t="s">
        <v>4</v>
      </c>
      <c r="Q13" s="294">
        <v>76</v>
      </c>
      <c r="R13" s="294">
        <v>56</v>
      </c>
    </row>
    <row r="14" spans="1:18" x14ac:dyDescent="0.25">
      <c r="A14" s="17" t="s">
        <v>28</v>
      </c>
      <c r="B14" s="14">
        <v>42</v>
      </c>
      <c r="C14" s="95">
        <v>54</v>
      </c>
      <c r="D14" s="95">
        <v>48</v>
      </c>
      <c r="E14" s="57">
        <v>47</v>
      </c>
      <c r="F14" s="95"/>
      <c r="G14" s="14">
        <v>38</v>
      </c>
      <c r="H14" s="27">
        <v>0.90476190476190477</v>
      </c>
      <c r="I14" s="103">
        <v>41</v>
      </c>
      <c r="J14" s="27">
        <v>0.7592592592592593</v>
      </c>
      <c r="K14" s="103">
        <v>39</v>
      </c>
      <c r="L14" s="27">
        <v>0.8125</v>
      </c>
      <c r="M14" s="56">
        <v>40</v>
      </c>
      <c r="N14" s="104">
        <f t="shared" si="0"/>
        <v>0.85106382978723405</v>
      </c>
      <c r="O14" s="214" t="str">
        <f t="shared" si="1"/>
        <v>OK</v>
      </c>
      <c r="P14" s="293" t="s">
        <v>28</v>
      </c>
      <c r="Q14" s="294">
        <v>47</v>
      </c>
      <c r="R14" s="294">
        <v>40</v>
      </c>
    </row>
    <row r="15" spans="1:18" x14ac:dyDescent="0.25">
      <c r="A15" s="17" t="s">
        <v>29</v>
      </c>
      <c r="B15" s="14">
        <v>33</v>
      </c>
      <c r="C15" s="95">
        <v>33</v>
      </c>
      <c r="D15" s="95">
        <v>32</v>
      </c>
      <c r="E15" s="57">
        <v>36</v>
      </c>
      <c r="F15" s="95"/>
      <c r="G15" s="14">
        <v>32</v>
      </c>
      <c r="H15" s="27">
        <v>0.96969696969696972</v>
      </c>
      <c r="I15" s="103">
        <v>29</v>
      </c>
      <c r="J15" s="27">
        <v>0.87878787878787878</v>
      </c>
      <c r="K15" s="103">
        <v>29</v>
      </c>
      <c r="L15" s="27">
        <v>0.90625</v>
      </c>
      <c r="M15" s="56">
        <v>29</v>
      </c>
      <c r="N15" s="104">
        <f t="shared" si="0"/>
        <v>0.80555555555555558</v>
      </c>
      <c r="O15" s="214" t="str">
        <f t="shared" si="1"/>
        <v>OK</v>
      </c>
      <c r="P15" s="293" t="s">
        <v>29</v>
      </c>
      <c r="Q15" s="294">
        <v>36</v>
      </c>
      <c r="R15" s="294">
        <v>29</v>
      </c>
    </row>
    <row r="16" spans="1:18" x14ac:dyDescent="0.25">
      <c r="A16" s="17" t="s">
        <v>5</v>
      </c>
      <c r="B16" s="14">
        <v>3</v>
      </c>
      <c r="C16" s="95">
        <v>2</v>
      </c>
      <c r="D16" s="95">
        <v>2</v>
      </c>
      <c r="E16" s="57">
        <v>7</v>
      </c>
      <c r="F16" s="95"/>
      <c r="G16" s="14">
        <v>2</v>
      </c>
      <c r="H16" s="27">
        <v>0.66666666666666663</v>
      </c>
      <c r="I16" s="103">
        <v>2</v>
      </c>
      <c r="J16" s="27">
        <v>1</v>
      </c>
      <c r="K16" s="103">
        <v>2</v>
      </c>
      <c r="L16" s="27">
        <v>1</v>
      </c>
      <c r="M16" s="56">
        <v>2</v>
      </c>
      <c r="N16" s="104">
        <f t="shared" si="0"/>
        <v>0.2857142857142857</v>
      </c>
      <c r="O16" s="214" t="str">
        <f t="shared" si="1"/>
        <v>OK</v>
      </c>
      <c r="P16" s="293" t="s">
        <v>5</v>
      </c>
      <c r="Q16" s="294">
        <v>7</v>
      </c>
      <c r="R16" s="294">
        <v>2</v>
      </c>
    </row>
    <row r="17" spans="1:18" x14ac:dyDescent="0.25">
      <c r="A17" s="17" t="s">
        <v>22</v>
      </c>
      <c r="B17" s="14">
        <v>272</v>
      </c>
      <c r="C17" s="95">
        <v>324</v>
      </c>
      <c r="D17" s="95">
        <v>325</v>
      </c>
      <c r="E17" s="57">
        <v>367</v>
      </c>
      <c r="F17" s="95"/>
      <c r="G17" s="14">
        <v>83</v>
      </c>
      <c r="H17" s="27">
        <v>0.30514705882352944</v>
      </c>
      <c r="I17" s="103">
        <v>172</v>
      </c>
      <c r="J17" s="27">
        <v>0.53086419753086422</v>
      </c>
      <c r="K17" s="103">
        <v>106</v>
      </c>
      <c r="L17" s="27">
        <v>0.32615384615384613</v>
      </c>
      <c r="M17" s="56">
        <v>133</v>
      </c>
      <c r="N17" s="104">
        <f t="shared" si="0"/>
        <v>0.36239782016348776</v>
      </c>
      <c r="O17" s="214" t="str">
        <f t="shared" si="1"/>
        <v>No</v>
      </c>
      <c r="P17" s="293" t="s">
        <v>376</v>
      </c>
      <c r="Q17" s="294">
        <v>367</v>
      </c>
      <c r="R17" s="294">
        <v>133</v>
      </c>
    </row>
    <row r="18" spans="1:18" x14ac:dyDescent="0.25">
      <c r="A18" s="17" t="s">
        <v>7</v>
      </c>
      <c r="B18" s="14">
        <v>16</v>
      </c>
      <c r="C18" s="95">
        <v>22</v>
      </c>
      <c r="D18" s="95">
        <v>18</v>
      </c>
      <c r="E18" s="57">
        <v>18</v>
      </c>
      <c r="F18" s="95"/>
      <c r="G18" s="14">
        <v>12</v>
      </c>
      <c r="H18" s="27">
        <v>0.75</v>
      </c>
      <c r="I18" s="103">
        <v>22</v>
      </c>
      <c r="J18" s="27">
        <v>1</v>
      </c>
      <c r="K18" s="103">
        <v>18</v>
      </c>
      <c r="L18" s="27">
        <v>1</v>
      </c>
      <c r="M18" s="56">
        <v>18</v>
      </c>
      <c r="N18" s="104">
        <f t="shared" si="0"/>
        <v>1</v>
      </c>
      <c r="O18" s="214" t="str">
        <f t="shared" si="1"/>
        <v>OK</v>
      </c>
      <c r="P18" s="293" t="s">
        <v>7</v>
      </c>
      <c r="Q18" s="294">
        <v>18</v>
      </c>
      <c r="R18" s="294">
        <v>18</v>
      </c>
    </row>
    <row r="19" spans="1:18" x14ac:dyDescent="0.25">
      <c r="A19" s="17" t="s">
        <v>6</v>
      </c>
      <c r="B19" s="14">
        <v>5</v>
      </c>
      <c r="C19" s="95">
        <v>3</v>
      </c>
      <c r="D19" s="95">
        <v>1</v>
      </c>
      <c r="E19" s="57">
        <v>3</v>
      </c>
      <c r="F19" s="95"/>
      <c r="G19" s="14">
        <v>0</v>
      </c>
      <c r="H19" s="27">
        <v>0</v>
      </c>
      <c r="I19" s="103">
        <v>2</v>
      </c>
      <c r="J19" s="27">
        <v>0.66666666666666663</v>
      </c>
      <c r="K19" s="103">
        <v>0</v>
      </c>
      <c r="L19" s="27">
        <v>0</v>
      </c>
      <c r="M19" s="56">
        <v>1</v>
      </c>
      <c r="N19" s="104">
        <f t="shared" si="0"/>
        <v>0.33333333333333331</v>
      </c>
      <c r="O19" s="214" t="str">
        <f t="shared" si="1"/>
        <v>OK</v>
      </c>
      <c r="P19" s="293" t="s">
        <v>6</v>
      </c>
      <c r="Q19" s="294">
        <v>3</v>
      </c>
      <c r="R19" s="294">
        <v>1</v>
      </c>
    </row>
    <row r="20" spans="1:18" x14ac:dyDescent="0.25">
      <c r="A20" s="17" t="s">
        <v>30</v>
      </c>
      <c r="B20" s="14">
        <v>7</v>
      </c>
      <c r="C20" s="95">
        <v>8</v>
      </c>
      <c r="D20" s="95">
        <v>7</v>
      </c>
      <c r="E20" s="57">
        <v>7</v>
      </c>
      <c r="F20" s="95"/>
      <c r="G20" s="14">
        <v>5</v>
      </c>
      <c r="H20" s="27">
        <v>0.7142857142857143</v>
      </c>
      <c r="I20" s="103">
        <v>8</v>
      </c>
      <c r="J20" s="27">
        <v>1</v>
      </c>
      <c r="K20" s="103">
        <v>6</v>
      </c>
      <c r="L20" s="27">
        <v>0.8571428571428571</v>
      </c>
      <c r="M20" s="56">
        <v>6</v>
      </c>
      <c r="N20" s="104">
        <f t="shared" si="0"/>
        <v>0.8571428571428571</v>
      </c>
      <c r="O20" s="214" t="str">
        <f t="shared" si="1"/>
        <v>OK</v>
      </c>
      <c r="P20" s="293" t="s">
        <v>30</v>
      </c>
      <c r="Q20" s="294">
        <v>7</v>
      </c>
      <c r="R20" s="294">
        <v>6</v>
      </c>
    </row>
    <row r="21" spans="1:18" x14ac:dyDescent="0.25">
      <c r="A21" s="17" t="s">
        <v>8</v>
      </c>
      <c r="B21" s="14">
        <v>27</v>
      </c>
      <c r="C21" s="95">
        <v>25</v>
      </c>
      <c r="D21" s="95">
        <v>26</v>
      </c>
      <c r="E21" s="57">
        <v>23</v>
      </c>
      <c r="F21" s="95"/>
      <c r="G21" s="14">
        <v>5</v>
      </c>
      <c r="H21" s="27">
        <v>0.18518518518518517</v>
      </c>
      <c r="I21" s="103">
        <v>17</v>
      </c>
      <c r="J21" s="27">
        <v>0.68</v>
      </c>
      <c r="K21" s="103">
        <v>17</v>
      </c>
      <c r="L21" s="27">
        <v>0.65384615384615385</v>
      </c>
      <c r="M21" s="56">
        <v>17</v>
      </c>
      <c r="N21" s="104">
        <f t="shared" si="0"/>
        <v>0.73913043478260865</v>
      </c>
      <c r="O21" s="214" t="str">
        <f t="shared" si="1"/>
        <v>OK</v>
      </c>
      <c r="P21" s="293" t="s">
        <v>8</v>
      </c>
      <c r="Q21" s="294">
        <v>23</v>
      </c>
      <c r="R21" s="294">
        <v>17</v>
      </c>
    </row>
    <row r="22" spans="1:18" x14ac:dyDescent="0.25">
      <c r="A22" s="17" t="s">
        <v>9</v>
      </c>
      <c r="B22" s="14">
        <v>5</v>
      </c>
      <c r="C22" s="95">
        <v>7</v>
      </c>
      <c r="D22" s="95">
        <v>7</v>
      </c>
      <c r="E22" s="57">
        <v>7</v>
      </c>
      <c r="F22" s="95"/>
      <c r="G22" s="14">
        <v>4</v>
      </c>
      <c r="H22" s="27">
        <v>0.8</v>
      </c>
      <c r="I22" s="103">
        <v>4</v>
      </c>
      <c r="J22" s="27">
        <v>0.5714285714285714</v>
      </c>
      <c r="K22" s="103">
        <v>6</v>
      </c>
      <c r="L22" s="27">
        <v>0.8571428571428571</v>
      </c>
      <c r="M22" s="56">
        <v>5</v>
      </c>
      <c r="N22" s="104">
        <f t="shared" si="0"/>
        <v>0.7142857142857143</v>
      </c>
      <c r="O22" s="214" t="str">
        <f t="shared" si="1"/>
        <v>OK</v>
      </c>
      <c r="P22" s="293" t="s">
        <v>9</v>
      </c>
      <c r="Q22" s="294">
        <v>7</v>
      </c>
      <c r="R22" s="294">
        <v>5</v>
      </c>
    </row>
    <row r="23" spans="1:18" x14ac:dyDescent="0.25">
      <c r="A23" s="17" t="s">
        <v>24</v>
      </c>
      <c r="B23" s="14">
        <v>284</v>
      </c>
      <c r="C23" s="95">
        <v>319</v>
      </c>
      <c r="D23" s="95">
        <v>324</v>
      </c>
      <c r="E23" s="57">
        <v>349</v>
      </c>
      <c r="F23" s="95"/>
      <c r="G23" s="14">
        <v>140</v>
      </c>
      <c r="H23" s="27">
        <v>0.49295774647887325</v>
      </c>
      <c r="I23" s="103">
        <v>196</v>
      </c>
      <c r="J23" s="27">
        <v>0.61442006269592475</v>
      </c>
      <c r="K23" s="103">
        <v>174</v>
      </c>
      <c r="L23" s="27">
        <v>0.53703703703703709</v>
      </c>
      <c r="M23" s="56">
        <v>193</v>
      </c>
      <c r="N23" s="104">
        <f t="shared" si="0"/>
        <v>0.55300859598853869</v>
      </c>
      <c r="O23" s="214" t="str">
        <f t="shared" si="1"/>
        <v>OK</v>
      </c>
      <c r="P23" s="293" t="s">
        <v>24</v>
      </c>
      <c r="Q23" s="294">
        <v>349</v>
      </c>
      <c r="R23" s="294">
        <v>193</v>
      </c>
    </row>
    <row r="24" spans="1:18" x14ac:dyDescent="0.25">
      <c r="A24" s="17" t="s">
        <v>25</v>
      </c>
      <c r="B24" s="14">
        <v>1</v>
      </c>
      <c r="C24" s="95">
        <v>1</v>
      </c>
      <c r="D24" s="95">
        <v>1</v>
      </c>
      <c r="E24" s="57">
        <v>1</v>
      </c>
      <c r="F24" s="95"/>
      <c r="G24" s="14">
        <v>1</v>
      </c>
      <c r="H24" s="27">
        <v>1</v>
      </c>
      <c r="I24" s="103">
        <v>1</v>
      </c>
      <c r="J24" s="27">
        <v>1</v>
      </c>
      <c r="K24" s="103">
        <v>1</v>
      </c>
      <c r="L24" s="27">
        <v>1</v>
      </c>
      <c r="M24" s="56">
        <v>1</v>
      </c>
      <c r="N24" s="104">
        <f t="shared" si="0"/>
        <v>1</v>
      </c>
      <c r="O24" s="214" t="str">
        <f t="shared" si="1"/>
        <v>OK</v>
      </c>
      <c r="P24" s="293" t="s">
        <v>25</v>
      </c>
      <c r="Q24" s="294">
        <v>1</v>
      </c>
      <c r="R24" s="294">
        <v>1</v>
      </c>
    </row>
    <row r="25" spans="1:18" x14ac:dyDescent="0.25">
      <c r="A25" s="17" t="s">
        <v>34</v>
      </c>
      <c r="B25" s="14">
        <v>1</v>
      </c>
      <c r="C25" s="95">
        <v>1</v>
      </c>
      <c r="D25" s="95">
        <v>1</v>
      </c>
      <c r="E25" s="57">
        <v>1</v>
      </c>
      <c r="F25" s="95"/>
      <c r="G25" s="14">
        <v>0</v>
      </c>
      <c r="H25" s="27">
        <v>0</v>
      </c>
      <c r="I25" s="103">
        <v>1</v>
      </c>
      <c r="J25" s="27">
        <v>1</v>
      </c>
      <c r="K25" s="103">
        <v>0</v>
      </c>
      <c r="L25" s="27">
        <v>0</v>
      </c>
      <c r="M25" s="56">
        <v>0</v>
      </c>
      <c r="N25" s="104">
        <f t="shared" si="0"/>
        <v>0</v>
      </c>
      <c r="O25" s="214" t="str">
        <f t="shared" si="1"/>
        <v>OK</v>
      </c>
      <c r="P25" s="293" t="s">
        <v>34</v>
      </c>
      <c r="Q25" s="294">
        <v>1</v>
      </c>
      <c r="R25" s="294">
        <v>0</v>
      </c>
    </row>
    <row r="26" spans="1:18" x14ac:dyDescent="0.25">
      <c r="A26" s="17" t="s">
        <v>10</v>
      </c>
      <c r="B26" s="14">
        <v>10</v>
      </c>
      <c r="C26" s="95">
        <v>12</v>
      </c>
      <c r="D26" s="95">
        <v>11</v>
      </c>
      <c r="E26" s="57">
        <v>11</v>
      </c>
      <c r="F26" s="95"/>
      <c r="G26" s="14">
        <v>3</v>
      </c>
      <c r="H26" s="27">
        <v>0.3</v>
      </c>
      <c r="I26" s="103">
        <v>4</v>
      </c>
      <c r="J26" s="27">
        <v>0.33333333333333331</v>
      </c>
      <c r="K26" s="103">
        <v>7</v>
      </c>
      <c r="L26" s="27">
        <v>0.63636363636363635</v>
      </c>
      <c r="M26" s="56">
        <v>5</v>
      </c>
      <c r="N26" s="104">
        <f t="shared" si="0"/>
        <v>0.45454545454545453</v>
      </c>
      <c r="O26" s="214" t="str">
        <f t="shared" si="1"/>
        <v>No</v>
      </c>
      <c r="P26" s="293" t="s">
        <v>377</v>
      </c>
      <c r="Q26" s="294">
        <v>11</v>
      </c>
      <c r="R26" s="294">
        <v>5</v>
      </c>
    </row>
    <row r="27" spans="1:18" x14ac:dyDescent="0.25">
      <c r="A27" s="17" t="s">
        <v>11</v>
      </c>
      <c r="B27" s="14">
        <v>101</v>
      </c>
      <c r="C27" s="95">
        <v>123</v>
      </c>
      <c r="D27" s="95">
        <v>114</v>
      </c>
      <c r="E27" s="57">
        <v>131</v>
      </c>
      <c r="F27" s="95"/>
      <c r="G27" s="14">
        <v>57</v>
      </c>
      <c r="H27" s="27">
        <v>0.5643564356435643</v>
      </c>
      <c r="I27" s="103">
        <v>93</v>
      </c>
      <c r="J27" s="27">
        <v>0.75609756097560976</v>
      </c>
      <c r="K27" s="103">
        <v>98</v>
      </c>
      <c r="L27" s="27">
        <v>0.85964912280701755</v>
      </c>
      <c r="M27" s="56">
        <v>105</v>
      </c>
      <c r="N27" s="104">
        <f t="shared" si="0"/>
        <v>0.80152671755725191</v>
      </c>
      <c r="O27" s="214" t="str">
        <f t="shared" si="1"/>
        <v>No</v>
      </c>
      <c r="P27" s="293" t="s">
        <v>378</v>
      </c>
      <c r="Q27" s="294">
        <v>131</v>
      </c>
      <c r="R27" s="294">
        <v>105</v>
      </c>
    </row>
    <row r="28" spans="1:18" x14ac:dyDescent="0.25">
      <c r="A28" s="17" t="s">
        <v>197</v>
      </c>
      <c r="B28" s="14">
        <v>20</v>
      </c>
      <c r="C28" s="95">
        <v>17</v>
      </c>
      <c r="D28" s="95">
        <v>14</v>
      </c>
      <c r="E28" s="57">
        <v>11</v>
      </c>
      <c r="F28" s="95"/>
      <c r="G28" s="14">
        <v>3</v>
      </c>
      <c r="H28" s="27">
        <v>0.15</v>
      </c>
      <c r="I28" s="103">
        <v>9</v>
      </c>
      <c r="J28" s="27">
        <v>0.52941176470588236</v>
      </c>
      <c r="K28" s="103">
        <v>8</v>
      </c>
      <c r="L28" s="27">
        <v>0.5714285714285714</v>
      </c>
      <c r="M28" s="56">
        <v>5</v>
      </c>
      <c r="N28" s="104">
        <f t="shared" si="0"/>
        <v>0.45454545454545453</v>
      </c>
      <c r="O28" s="214" t="str">
        <f t="shared" si="1"/>
        <v>OK</v>
      </c>
      <c r="P28" s="293" t="s">
        <v>197</v>
      </c>
      <c r="Q28" s="294">
        <v>11</v>
      </c>
      <c r="R28" s="294">
        <v>5</v>
      </c>
    </row>
    <row r="29" spans="1:18" x14ac:dyDescent="0.25">
      <c r="A29" s="17" t="s">
        <v>12</v>
      </c>
      <c r="B29" s="14">
        <v>26</v>
      </c>
      <c r="C29" s="95">
        <v>33</v>
      </c>
      <c r="D29" s="95">
        <v>29</v>
      </c>
      <c r="E29" s="57">
        <v>33</v>
      </c>
      <c r="F29" s="95"/>
      <c r="G29" s="14">
        <v>4</v>
      </c>
      <c r="H29" s="27">
        <v>0.15384615384615385</v>
      </c>
      <c r="I29" s="103">
        <v>5</v>
      </c>
      <c r="J29" s="27">
        <v>0.15151515151515152</v>
      </c>
      <c r="K29" s="103">
        <v>9</v>
      </c>
      <c r="L29" s="27">
        <v>0.31034482758620691</v>
      </c>
      <c r="M29" s="56">
        <v>9</v>
      </c>
      <c r="N29" s="104">
        <f t="shared" si="0"/>
        <v>0.27272727272727271</v>
      </c>
      <c r="O29" s="214" t="str">
        <f t="shared" si="1"/>
        <v>OK</v>
      </c>
      <c r="P29" s="293" t="s">
        <v>12</v>
      </c>
      <c r="Q29" s="294">
        <v>33</v>
      </c>
      <c r="R29" s="294">
        <v>9</v>
      </c>
    </row>
    <row r="30" spans="1:18" x14ac:dyDescent="0.25">
      <c r="A30" s="17" t="s">
        <v>13</v>
      </c>
      <c r="B30" s="14">
        <v>14</v>
      </c>
      <c r="C30" s="95">
        <v>29</v>
      </c>
      <c r="D30" s="95">
        <v>18</v>
      </c>
      <c r="E30" s="57">
        <v>23</v>
      </c>
      <c r="F30" s="95"/>
      <c r="G30" s="14">
        <v>9</v>
      </c>
      <c r="H30" s="27">
        <v>0.6428571428571429</v>
      </c>
      <c r="I30" s="103">
        <v>11</v>
      </c>
      <c r="J30" s="27">
        <v>0.37931034482758619</v>
      </c>
      <c r="K30" s="103">
        <v>9</v>
      </c>
      <c r="L30" s="27">
        <v>0.5</v>
      </c>
      <c r="M30" s="56">
        <v>9</v>
      </c>
      <c r="N30" s="104">
        <f t="shared" si="0"/>
        <v>0.39130434782608697</v>
      </c>
      <c r="O30" s="214" t="str">
        <f t="shared" si="1"/>
        <v>OK</v>
      </c>
      <c r="P30" s="293" t="s">
        <v>13</v>
      </c>
      <c r="Q30" s="294">
        <v>23</v>
      </c>
      <c r="R30" s="294">
        <v>9</v>
      </c>
    </row>
    <row r="31" spans="1:18" x14ac:dyDescent="0.25">
      <c r="A31" s="17" t="s">
        <v>14</v>
      </c>
      <c r="B31" s="14">
        <v>8</v>
      </c>
      <c r="C31" s="95">
        <v>9</v>
      </c>
      <c r="D31" s="95">
        <v>9</v>
      </c>
      <c r="E31" s="57">
        <v>8</v>
      </c>
      <c r="F31" s="95"/>
      <c r="G31" s="14">
        <v>4</v>
      </c>
      <c r="H31" s="27">
        <v>0.5</v>
      </c>
      <c r="I31" s="103">
        <v>5</v>
      </c>
      <c r="J31" s="27">
        <v>0.55555555555555558</v>
      </c>
      <c r="K31" s="103">
        <v>5</v>
      </c>
      <c r="L31" s="27">
        <v>0.55555555555555558</v>
      </c>
      <c r="M31" s="56">
        <v>5</v>
      </c>
      <c r="N31" s="104">
        <f t="shared" si="0"/>
        <v>0.625</v>
      </c>
      <c r="O31" s="214" t="str">
        <f t="shared" si="1"/>
        <v>OK</v>
      </c>
      <c r="P31" s="293" t="s">
        <v>14</v>
      </c>
      <c r="Q31" s="294">
        <v>8</v>
      </c>
      <c r="R31" s="294">
        <v>5</v>
      </c>
    </row>
    <row r="32" spans="1:18" x14ac:dyDescent="0.25">
      <c r="A32" s="17" t="s">
        <v>15</v>
      </c>
      <c r="B32" s="14">
        <v>8</v>
      </c>
      <c r="C32" s="95">
        <v>7</v>
      </c>
      <c r="D32" s="95">
        <v>7</v>
      </c>
      <c r="E32" s="57">
        <v>7</v>
      </c>
      <c r="F32" s="95"/>
      <c r="G32" s="14">
        <v>1</v>
      </c>
      <c r="H32" s="27">
        <v>0.125</v>
      </c>
      <c r="I32" s="103">
        <v>3</v>
      </c>
      <c r="J32" s="27">
        <v>0.42857142857142855</v>
      </c>
      <c r="K32" s="103">
        <v>3</v>
      </c>
      <c r="L32" s="27">
        <v>0.42857142857142855</v>
      </c>
      <c r="M32" s="56">
        <v>5</v>
      </c>
      <c r="N32" s="104">
        <f t="shared" si="0"/>
        <v>0.7142857142857143</v>
      </c>
      <c r="O32" s="214" t="str">
        <f t="shared" si="1"/>
        <v>OK</v>
      </c>
      <c r="P32" s="293" t="s">
        <v>15</v>
      </c>
      <c r="Q32" s="294">
        <v>7</v>
      </c>
      <c r="R32" s="294">
        <v>5</v>
      </c>
    </row>
    <row r="33" spans="1:18" x14ac:dyDescent="0.25">
      <c r="A33" s="17" t="s">
        <v>16</v>
      </c>
      <c r="B33" s="14">
        <v>5</v>
      </c>
      <c r="C33" s="95">
        <v>5</v>
      </c>
      <c r="D33" s="95">
        <v>6</v>
      </c>
      <c r="E33" s="57">
        <v>6</v>
      </c>
      <c r="F33" s="95"/>
      <c r="G33" s="14">
        <v>1</v>
      </c>
      <c r="H33" s="27">
        <v>0.2</v>
      </c>
      <c r="I33" s="103">
        <v>4</v>
      </c>
      <c r="J33" s="27">
        <v>0.8</v>
      </c>
      <c r="K33" s="103">
        <v>3</v>
      </c>
      <c r="L33" s="27">
        <v>0.5</v>
      </c>
      <c r="M33" s="56">
        <v>3</v>
      </c>
      <c r="N33" s="104">
        <f t="shared" si="0"/>
        <v>0.5</v>
      </c>
      <c r="O33" s="214" t="str">
        <f t="shared" si="1"/>
        <v>No</v>
      </c>
      <c r="P33" s="293" t="s">
        <v>379</v>
      </c>
      <c r="Q33" s="294">
        <v>6</v>
      </c>
      <c r="R33" s="294">
        <v>3</v>
      </c>
    </row>
    <row r="34" spans="1:18" x14ac:dyDescent="0.25">
      <c r="A34" s="17" t="s">
        <v>17</v>
      </c>
      <c r="B34" s="14">
        <v>6</v>
      </c>
      <c r="C34" s="95">
        <v>9</v>
      </c>
      <c r="D34" s="95">
        <v>10</v>
      </c>
      <c r="E34" s="57">
        <v>12</v>
      </c>
      <c r="F34" s="95"/>
      <c r="G34" s="14">
        <v>3</v>
      </c>
      <c r="H34" s="27">
        <v>0.5</v>
      </c>
      <c r="I34" s="103">
        <v>6</v>
      </c>
      <c r="J34" s="27">
        <v>0.66666666666666663</v>
      </c>
      <c r="K34" s="103">
        <v>3</v>
      </c>
      <c r="L34" s="27">
        <v>0.3</v>
      </c>
      <c r="M34" s="56">
        <v>5</v>
      </c>
      <c r="N34" s="104">
        <f t="shared" si="0"/>
        <v>0.41666666666666669</v>
      </c>
      <c r="O34" s="214" t="str">
        <f t="shared" si="1"/>
        <v>OK</v>
      </c>
      <c r="P34" s="293" t="s">
        <v>17</v>
      </c>
      <c r="Q34" s="294">
        <v>12</v>
      </c>
      <c r="R34" s="294">
        <v>5</v>
      </c>
    </row>
    <row r="35" spans="1:18" x14ac:dyDescent="0.25">
      <c r="A35" s="17" t="s">
        <v>18</v>
      </c>
      <c r="B35" s="14">
        <v>27</v>
      </c>
      <c r="C35" s="95">
        <v>38</v>
      </c>
      <c r="D35" s="95">
        <v>40</v>
      </c>
      <c r="E35" s="57">
        <v>40</v>
      </c>
      <c r="F35" s="95"/>
      <c r="G35" s="14">
        <v>9</v>
      </c>
      <c r="H35" s="27">
        <v>0.33333333333333331</v>
      </c>
      <c r="I35" s="103">
        <v>18</v>
      </c>
      <c r="J35" s="27">
        <v>0.47368421052631576</v>
      </c>
      <c r="K35" s="103">
        <v>22</v>
      </c>
      <c r="L35" s="27">
        <v>0.55000000000000004</v>
      </c>
      <c r="M35" s="56">
        <v>19</v>
      </c>
      <c r="N35" s="104">
        <f t="shared" si="0"/>
        <v>0.47499999999999998</v>
      </c>
      <c r="O35" s="214" t="str">
        <f t="shared" si="1"/>
        <v>OK</v>
      </c>
      <c r="P35" s="293" t="s">
        <v>18</v>
      </c>
      <c r="Q35" s="294">
        <v>40</v>
      </c>
      <c r="R35" s="294">
        <v>19</v>
      </c>
    </row>
    <row r="36" spans="1:18" x14ac:dyDescent="0.25">
      <c r="A36" s="17" t="s">
        <v>19</v>
      </c>
      <c r="B36" s="14">
        <v>2</v>
      </c>
      <c r="C36" s="95">
        <v>2</v>
      </c>
      <c r="D36" s="95">
        <v>6</v>
      </c>
      <c r="E36" s="57">
        <v>2</v>
      </c>
      <c r="F36" s="95"/>
      <c r="G36" s="14">
        <v>2</v>
      </c>
      <c r="H36" s="27">
        <v>1</v>
      </c>
      <c r="I36" s="103">
        <v>2</v>
      </c>
      <c r="J36" s="27">
        <v>1</v>
      </c>
      <c r="K36" s="103">
        <v>2</v>
      </c>
      <c r="L36" s="27">
        <v>0.33333333333333331</v>
      </c>
      <c r="M36" s="56">
        <v>1</v>
      </c>
      <c r="N36" s="104">
        <f t="shared" si="0"/>
        <v>0.5</v>
      </c>
      <c r="O36" s="214" t="str">
        <f t="shared" si="1"/>
        <v>OK</v>
      </c>
      <c r="P36" s="293" t="s">
        <v>19</v>
      </c>
      <c r="Q36" s="294">
        <v>2</v>
      </c>
      <c r="R36" s="294">
        <v>1</v>
      </c>
    </row>
    <row r="37" spans="1:18" x14ac:dyDescent="0.25">
      <c r="A37" s="17" t="s">
        <v>31</v>
      </c>
      <c r="B37" s="14">
        <v>4</v>
      </c>
      <c r="C37" s="95">
        <v>4</v>
      </c>
      <c r="D37" s="95">
        <v>9</v>
      </c>
      <c r="E37" s="57">
        <v>9</v>
      </c>
      <c r="F37" s="95"/>
      <c r="G37" s="14">
        <v>1</v>
      </c>
      <c r="H37" s="27">
        <v>0.25</v>
      </c>
      <c r="I37" s="103">
        <v>4</v>
      </c>
      <c r="J37" s="27">
        <v>1</v>
      </c>
      <c r="K37" s="103">
        <v>3</v>
      </c>
      <c r="L37" s="27">
        <v>0.33333333333333331</v>
      </c>
      <c r="M37" s="56">
        <v>4</v>
      </c>
      <c r="N37" s="104">
        <f t="shared" si="0"/>
        <v>0.44444444444444442</v>
      </c>
      <c r="O37" s="214" t="str">
        <f t="shared" si="1"/>
        <v>No</v>
      </c>
      <c r="P37" s="293" t="s">
        <v>380</v>
      </c>
      <c r="Q37" s="294">
        <v>9</v>
      </c>
      <c r="R37" s="294">
        <v>4</v>
      </c>
    </row>
    <row r="38" spans="1:18" x14ac:dyDescent="0.25">
      <c r="A38" s="17" t="s">
        <v>20</v>
      </c>
      <c r="B38" s="14">
        <v>5</v>
      </c>
      <c r="C38" s="95">
        <v>10</v>
      </c>
      <c r="D38" s="95">
        <v>5</v>
      </c>
      <c r="E38" s="57">
        <v>5</v>
      </c>
      <c r="F38" s="95"/>
      <c r="G38" s="14">
        <v>2</v>
      </c>
      <c r="H38" s="27">
        <v>0.4</v>
      </c>
      <c r="I38" s="103">
        <v>1</v>
      </c>
      <c r="J38" s="27">
        <v>0.1</v>
      </c>
      <c r="K38" s="103">
        <v>1</v>
      </c>
      <c r="L38" s="27">
        <v>0.2</v>
      </c>
      <c r="M38" s="56">
        <v>0</v>
      </c>
      <c r="N38" s="104">
        <f t="shared" si="0"/>
        <v>0</v>
      </c>
      <c r="O38" s="214" t="str">
        <f t="shared" si="1"/>
        <v>OK</v>
      </c>
      <c r="P38" s="293" t="s">
        <v>20</v>
      </c>
      <c r="Q38" s="294">
        <v>5</v>
      </c>
      <c r="R38" s="294">
        <v>0</v>
      </c>
    </row>
    <row r="39" spans="1:18" x14ac:dyDescent="0.25">
      <c r="A39" s="17" t="s">
        <v>27</v>
      </c>
      <c r="B39" s="14">
        <v>1</v>
      </c>
      <c r="C39" s="95">
        <v>4</v>
      </c>
      <c r="D39" s="95">
        <v>2</v>
      </c>
      <c r="E39" s="57">
        <v>2</v>
      </c>
      <c r="F39" s="95"/>
      <c r="G39" s="14">
        <v>1</v>
      </c>
      <c r="H39" s="27">
        <v>1</v>
      </c>
      <c r="I39" s="103">
        <v>4</v>
      </c>
      <c r="J39" s="27">
        <v>1</v>
      </c>
      <c r="K39" s="103">
        <v>2</v>
      </c>
      <c r="L39" s="27">
        <v>1</v>
      </c>
      <c r="M39" s="56">
        <v>2</v>
      </c>
      <c r="N39" s="104">
        <f t="shared" si="0"/>
        <v>1</v>
      </c>
      <c r="O39" s="214" t="str">
        <f t="shared" si="1"/>
        <v>OK</v>
      </c>
      <c r="P39" s="293" t="s">
        <v>27</v>
      </c>
      <c r="Q39" s="294">
        <v>2</v>
      </c>
      <c r="R39" s="294">
        <v>2</v>
      </c>
    </row>
    <row r="40" spans="1:18" x14ac:dyDescent="0.25">
      <c r="A40" s="17" t="s">
        <v>32</v>
      </c>
      <c r="B40" s="14">
        <v>16</v>
      </c>
      <c r="C40" s="95">
        <v>15</v>
      </c>
      <c r="D40" s="95">
        <v>18</v>
      </c>
      <c r="E40" s="57">
        <v>14</v>
      </c>
      <c r="F40" s="95"/>
      <c r="G40" s="14">
        <v>9</v>
      </c>
      <c r="H40" s="27">
        <v>0.5625</v>
      </c>
      <c r="I40" s="103">
        <v>11</v>
      </c>
      <c r="J40" s="27">
        <v>0.73333333333333328</v>
      </c>
      <c r="K40" s="103">
        <v>15</v>
      </c>
      <c r="L40" s="27">
        <v>0.83333333333333337</v>
      </c>
      <c r="M40" s="56">
        <v>10</v>
      </c>
      <c r="N40" s="104">
        <f t="shared" si="0"/>
        <v>0.7142857142857143</v>
      </c>
      <c r="O40" s="214" t="str">
        <f t="shared" si="1"/>
        <v>OK</v>
      </c>
      <c r="P40" s="293" t="s">
        <v>32</v>
      </c>
      <c r="Q40" s="294">
        <v>14</v>
      </c>
      <c r="R40" s="294">
        <v>10</v>
      </c>
    </row>
    <row r="41" spans="1:18" x14ac:dyDescent="0.25">
      <c r="A41" s="17" t="s">
        <v>21</v>
      </c>
      <c r="B41" s="14">
        <v>12</v>
      </c>
      <c r="C41" s="95">
        <v>24</v>
      </c>
      <c r="D41" s="95">
        <v>19</v>
      </c>
      <c r="E41" s="57">
        <v>21</v>
      </c>
      <c r="F41" s="95"/>
      <c r="G41" s="14">
        <v>6</v>
      </c>
      <c r="H41" s="27">
        <v>0.5</v>
      </c>
      <c r="I41" s="103">
        <v>12</v>
      </c>
      <c r="J41" s="27">
        <v>0.5</v>
      </c>
      <c r="K41" s="103">
        <v>9</v>
      </c>
      <c r="L41" s="27">
        <v>0.47368421052631576</v>
      </c>
      <c r="M41" s="56">
        <v>8</v>
      </c>
      <c r="N41" s="104">
        <f t="shared" si="0"/>
        <v>0.38095238095238093</v>
      </c>
      <c r="O41" s="214" t="str">
        <f t="shared" si="1"/>
        <v>OK</v>
      </c>
      <c r="P41" s="293" t="s">
        <v>21</v>
      </c>
      <c r="Q41" s="294">
        <v>21</v>
      </c>
      <c r="R41" s="294">
        <v>8</v>
      </c>
    </row>
    <row r="42" spans="1:18" x14ac:dyDescent="0.25">
      <c r="A42" s="17" t="s">
        <v>43</v>
      </c>
      <c r="B42" s="14">
        <v>115</v>
      </c>
      <c r="C42" s="95">
        <v>123</v>
      </c>
      <c r="D42" s="95">
        <v>125</v>
      </c>
      <c r="E42" s="57">
        <v>124</v>
      </c>
      <c r="F42" s="95"/>
      <c r="G42" s="14">
        <v>84</v>
      </c>
      <c r="H42" s="27">
        <v>0.73043478260869565</v>
      </c>
      <c r="I42" s="103">
        <v>103</v>
      </c>
      <c r="J42" s="27">
        <v>0.83739837398373984</v>
      </c>
      <c r="K42" s="103">
        <v>95</v>
      </c>
      <c r="L42" s="27">
        <v>0.76</v>
      </c>
      <c r="M42" s="56">
        <v>99</v>
      </c>
      <c r="N42" s="104">
        <f t="shared" si="0"/>
        <v>0.79838709677419351</v>
      </c>
      <c r="O42" s="214" t="str">
        <f t="shared" si="1"/>
        <v>OK</v>
      </c>
      <c r="P42" s="293" t="s">
        <v>43</v>
      </c>
      <c r="Q42" s="294">
        <v>124</v>
      </c>
      <c r="R42" s="294">
        <v>99</v>
      </c>
    </row>
    <row r="43" spans="1:18" x14ac:dyDescent="0.25">
      <c r="A43" s="17" t="s">
        <v>44</v>
      </c>
      <c r="B43" s="14">
        <v>102</v>
      </c>
      <c r="C43" s="95">
        <v>124</v>
      </c>
      <c r="D43" s="95">
        <v>109</v>
      </c>
      <c r="E43" s="57">
        <v>118</v>
      </c>
      <c r="F43" s="95"/>
      <c r="G43" s="14">
        <v>16</v>
      </c>
      <c r="H43" s="27">
        <v>0.15686274509803921</v>
      </c>
      <c r="I43" s="103">
        <v>50</v>
      </c>
      <c r="J43" s="27">
        <v>0.40322580645161288</v>
      </c>
      <c r="K43" s="103">
        <v>39</v>
      </c>
      <c r="L43" s="27">
        <v>0.3577981651376147</v>
      </c>
      <c r="M43" s="56">
        <v>50</v>
      </c>
      <c r="N43" s="104">
        <f t="shared" si="0"/>
        <v>0.42372881355932202</v>
      </c>
      <c r="O43" s="214" t="str">
        <f t="shared" si="1"/>
        <v>OK</v>
      </c>
      <c r="P43" s="293" t="s">
        <v>44</v>
      </c>
      <c r="Q43" s="294">
        <v>118</v>
      </c>
      <c r="R43" s="294">
        <v>50</v>
      </c>
    </row>
    <row r="44" spans="1:18" x14ac:dyDescent="0.25">
      <c r="A44" s="17" t="s">
        <v>35</v>
      </c>
      <c r="B44" s="14">
        <v>3</v>
      </c>
      <c r="C44" s="95">
        <v>2</v>
      </c>
      <c r="D44" s="95">
        <v>3</v>
      </c>
      <c r="E44" s="57">
        <v>3</v>
      </c>
      <c r="F44" s="95"/>
      <c r="G44" s="14">
        <v>3</v>
      </c>
      <c r="H44" s="27">
        <v>1</v>
      </c>
      <c r="I44" s="103">
        <v>1</v>
      </c>
      <c r="J44" s="27">
        <v>0.5</v>
      </c>
      <c r="K44" s="103">
        <v>1</v>
      </c>
      <c r="L44" s="27">
        <v>0.33333333333333331</v>
      </c>
      <c r="M44" s="56">
        <v>1</v>
      </c>
      <c r="N44" s="104">
        <f t="shared" si="0"/>
        <v>0.33333333333333331</v>
      </c>
      <c r="O44" s="214" t="str">
        <f t="shared" si="1"/>
        <v>OK</v>
      </c>
      <c r="P44" s="293" t="s">
        <v>35</v>
      </c>
      <c r="Q44" s="294">
        <v>3</v>
      </c>
      <c r="R44" s="294">
        <v>1</v>
      </c>
    </row>
    <row r="45" spans="1:18" x14ac:dyDescent="0.25">
      <c r="A45" s="17" t="s">
        <v>36</v>
      </c>
      <c r="B45" s="14">
        <v>1</v>
      </c>
      <c r="C45" s="95">
        <v>2</v>
      </c>
      <c r="D45" s="95">
        <v>2</v>
      </c>
      <c r="E45" s="57">
        <v>2</v>
      </c>
      <c r="F45" s="95"/>
      <c r="G45" s="14">
        <v>1</v>
      </c>
      <c r="H45" s="27">
        <v>1</v>
      </c>
      <c r="I45" s="103">
        <v>0</v>
      </c>
      <c r="J45" s="27">
        <v>0</v>
      </c>
      <c r="K45" s="103">
        <v>0</v>
      </c>
      <c r="L45" s="27">
        <v>0</v>
      </c>
      <c r="M45" s="56">
        <v>0</v>
      </c>
      <c r="N45" s="104">
        <f t="shared" si="0"/>
        <v>0</v>
      </c>
      <c r="O45" s="214" t="str">
        <f t="shared" si="1"/>
        <v>OK</v>
      </c>
      <c r="P45" s="293" t="s">
        <v>36</v>
      </c>
      <c r="Q45" s="294">
        <v>2</v>
      </c>
      <c r="R45" s="294">
        <v>0</v>
      </c>
    </row>
    <row r="46" spans="1:18" x14ac:dyDescent="0.25">
      <c r="A46" s="17" t="s">
        <v>37</v>
      </c>
      <c r="B46" s="14">
        <v>42</v>
      </c>
      <c r="C46" s="95">
        <v>44</v>
      </c>
      <c r="D46" s="95">
        <v>46</v>
      </c>
      <c r="E46" s="57">
        <v>53</v>
      </c>
      <c r="F46" s="95"/>
      <c r="G46" s="14">
        <v>35</v>
      </c>
      <c r="H46" s="27">
        <v>0.83333333333333337</v>
      </c>
      <c r="I46" s="103">
        <v>28</v>
      </c>
      <c r="J46" s="27">
        <v>0.63636363636363635</v>
      </c>
      <c r="K46" s="103">
        <v>22</v>
      </c>
      <c r="L46" s="27">
        <v>0.47826086956521741</v>
      </c>
      <c r="M46" s="56">
        <v>28</v>
      </c>
      <c r="N46" s="104">
        <f t="shared" si="0"/>
        <v>0.52830188679245282</v>
      </c>
      <c r="O46" s="214" t="str">
        <f t="shared" si="1"/>
        <v>OK</v>
      </c>
      <c r="P46" s="293" t="s">
        <v>37</v>
      </c>
      <c r="Q46" s="294">
        <v>53</v>
      </c>
      <c r="R46" s="294">
        <v>28</v>
      </c>
    </row>
    <row r="47" spans="1:18" x14ac:dyDescent="0.25">
      <c r="A47" s="17" t="s">
        <v>38</v>
      </c>
      <c r="B47" s="14">
        <v>13</v>
      </c>
      <c r="C47" s="95">
        <v>12</v>
      </c>
      <c r="D47" s="95">
        <v>12</v>
      </c>
      <c r="E47" s="57">
        <v>14</v>
      </c>
      <c r="F47" s="95"/>
      <c r="G47" s="14">
        <v>6</v>
      </c>
      <c r="H47" s="27">
        <v>0.46153846153846156</v>
      </c>
      <c r="I47" s="103">
        <v>6</v>
      </c>
      <c r="J47" s="27">
        <v>0.5</v>
      </c>
      <c r="K47" s="103">
        <v>5</v>
      </c>
      <c r="L47" s="27">
        <v>0.41666666666666669</v>
      </c>
      <c r="M47" s="56">
        <v>5</v>
      </c>
      <c r="N47" s="104">
        <f t="shared" si="0"/>
        <v>0.35714285714285715</v>
      </c>
      <c r="O47" s="214" t="str">
        <f t="shared" si="1"/>
        <v>OK</v>
      </c>
      <c r="P47" s="293" t="s">
        <v>38</v>
      </c>
      <c r="Q47" s="294">
        <v>14</v>
      </c>
      <c r="R47" s="294">
        <v>5</v>
      </c>
    </row>
    <row r="48" spans="1:18" x14ac:dyDescent="0.25">
      <c r="A48" s="17" t="s">
        <v>39</v>
      </c>
      <c r="B48" s="14">
        <v>4</v>
      </c>
      <c r="C48" s="95">
        <v>4</v>
      </c>
      <c r="D48" s="95">
        <v>4</v>
      </c>
      <c r="E48" s="57">
        <v>4</v>
      </c>
      <c r="F48" s="95"/>
      <c r="G48" s="14">
        <v>4</v>
      </c>
      <c r="H48" s="27">
        <v>1</v>
      </c>
      <c r="I48" s="103">
        <v>1</v>
      </c>
      <c r="J48" s="27">
        <v>0.25</v>
      </c>
      <c r="K48" s="103">
        <v>1</v>
      </c>
      <c r="L48" s="27">
        <v>0.25</v>
      </c>
      <c r="M48" s="56">
        <v>1</v>
      </c>
      <c r="N48" s="104">
        <f t="shared" si="0"/>
        <v>0.25</v>
      </c>
      <c r="O48" s="214" t="str">
        <f t="shared" si="1"/>
        <v>OK</v>
      </c>
      <c r="P48" s="293" t="s">
        <v>39</v>
      </c>
      <c r="Q48" s="294">
        <v>4</v>
      </c>
      <c r="R48" s="294">
        <v>1</v>
      </c>
    </row>
    <row r="49" spans="1:18" x14ac:dyDescent="0.25">
      <c r="A49" s="17" t="s">
        <v>40</v>
      </c>
      <c r="B49" s="14">
        <v>50</v>
      </c>
      <c r="C49" s="95">
        <v>62</v>
      </c>
      <c r="D49" s="95">
        <v>75</v>
      </c>
      <c r="E49" s="57">
        <v>60</v>
      </c>
      <c r="F49" s="95"/>
      <c r="G49" s="14">
        <v>28</v>
      </c>
      <c r="H49" s="27">
        <v>0.56000000000000005</v>
      </c>
      <c r="I49" s="103">
        <v>43</v>
      </c>
      <c r="J49" s="27">
        <v>0.69354838709677424</v>
      </c>
      <c r="K49" s="103">
        <v>35</v>
      </c>
      <c r="L49" s="27">
        <v>0.46666666666666667</v>
      </c>
      <c r="M49" s="56">
        <v>28</v>
      </c>
      <c r="N49" s="104">
        <f t="shared" si="0"/>
        <v>0.46666666666666667</v>
      </c>
      <c r="O49" s="214" t="str">
        <f t="shared" si="1"/>
        <v>OK</v>
      </c>
      <c r="P49" s="293" t="s">
        <v>40</v>
      </c>
      <c r="Q49" s="294">
        <v>60</v>
      </c>
      <c r="R49" s="294">
        <v>28</v>
      </c>
    </row>
    <row r="50" spans="1:18" x14ac:dyDescent="0.25">
      <c r="A50" s="17" t="s">
        <v>41</v>
      </c>
      <c r="B50" s="14">
        <v>78</v>
      </c>
      <c r="C50" s="95">
        <v>99</v>
      </c>
      <c r="D50" s="95">
        <v>107</v>
      </c>
      <c r="E50" s="57">
        <v>120</v>
      </c>
      <c r="F50" s="95"/>
      <c r="G50" s="14">
        <v>22</v>
      </c>
      <c r="H50" s="27">
        <v>0.28205128205128205</v>
      </c>
      <c r="I50" s="103">
        <v>28</v>
      </c>
      <c r="J50" s="27">
        <v>0.28282828282828282</v>
      </c>
      <c r="K50" s="103">
        <v>83</v>
      </c>
      <c r="L50" s="27">
        <v>0.77570093457943923</v>
      </c>
      <c r="M50" s="56">
        <v>113</v>
      </c>
      <c r="N50" s="104">
        <f t="shared" si="0"/>
        <v>0.94166666666666665</v>
      </c>
      <c r="O50" s="214" t="str">
        <f t="shared" si="1"/>
        <v>OK</v>
      </c>
      <c r="P50" s="293" t="s">
        <v>41</v>
      </c>
      <c r="Q50" s="294">
        <v>120</v>
      </c>
      <c r="R50" s="294">
        <v>113</v>
      </c>
    </row>
    <row r="51" spans="1:18" x14ac:dyDescent="0.25">
      <c r="A51" s="17" t="s">
        <v>42</v>
      </c>
      <c r="B51" s="14">
        <v>21</v>
      </c>
      <c r="C51" s="95">
        <v>28</v>
      </c>
      <c r="D51" s="95">
        <v>26</v>
      </c>
      <c r="E51" s="57">
        <v>36</v>
      </c>
      <c r="F51" s="95"/>
      <c r="G51" s="14">
        <v>11</v>
      </c>
      <c r="H51" s="27">
        <v>0.52380952380952384</v>
      </c>
      <c r="I51" s="103">
        <v>12</v>
      </c>
      <c r="J51" s="27">
        <v>0.42857142857142855</v>
      </c>
      <c r="K51" s="103">
        <v>15</v>
      </c>
      <c r="L51" s="27">
        <v>0.57692307692307687</v>
      </c>
      <c r="M51" s="56">
        <v>23</v>
      </c>
      <c r="N51" s="104">
        <f t="shared" si="0"/>
        <v>0.63888888888888884</v>
      </c>
      <c r="O51" s="214" t="str">
        <f t="shared" si="1"/>
        <v>OK</v>
      </c>
      <c r="P51" s="293" t="s">
        <v>42</v>
      </c>
      <c r="Q51" s="294">
        <v>36</v>
      </c>
      <c r="R51" s="294">
        <v>23</v>
      </c>
    </row>
    <row r="52" spans="1:18" x14ac:dyDescent="0.25">
      <c r="A52" s="17"/>
      <c r="B52" s="17"/>
      <c r="C52" s="101"/>
      <c r="D52" s="101"/>
      <c r="E52" s="17"/>
      <c r="F52" s="101"/>
      <c r="G52" s="17"/>
      <c r="H52" s="35"/>
      <c r="I52" s="35"/>
      <c r="J52" s="35"/>
      <c r="K52" s="35"/>
      <c r="L52" s="35"/>
      <c r="M52" s="17"/>
      <c r="N52" s="35"/>
      <c r="O52" s="214"/>
      <c r="P52" s="293"/>
      <c r="Q52" s="294"/>
      <c r="R52" s="294"/>
    </row>
    <row r="53" spans="1:18" ht="15.75" thickBot="1" x14ac:dyDescent="0.3">
      <c r="A53" s="26" t="s">
        <v>129</v>
      </c>
      <c r="B53" s="29">
        <v>1924</v>
      </c>
      <c r="C53" s="102">
        <v>2360</v>
      </c>
      <c r="D53" s="102">
        <v>2427</v>
      </c>
      <c r="E53" s="29">
        <f>SUM(E6:E51)</f>
        <v>2619</v>
      </c>
      <c r="F53" s="127"/>
      <c r="G53" s="29">
        <v>868</v>
      </c>
      <c r="H53" s="28">
        <v>0.45114345114345117</v>
      </c>
      <c r="I53" s="29">
        <v>1373</v>
      </c>
      <c r="J53" s="28">
        <v>0.58177966101694911</v>
      </c>
      <c r="K53" s="29">
        <v>1281</v>
      </c>
      <c r="L53" s="28">
        <v>0.52781211372064274</v>
      </c>
      <c r="M53" s="29">
        <f>SUM(M6:M51)</f>
        <v>1438</v>
      </c>
      <c r="N53" s="28">
        <f t="shared" ref="N53" si="2">M53/E53</f>
        <v>0.54906452844597176</v>
      </c>
    </row>
    <row r="54" spans="1:18" ht="15.75" thickTop="1"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I54"/>
  <sheetViews>
    <sheetView workbookViewId="0">
      <pane xSplit="1" ySplit="5" topLeftCell="B21" activePane="bottomRight" state="frozen"/>
      <selection activeCell="C8" sqref="C8"/>
      <selection pane="topRight" activeCell="C8" sqref="C8"/>
      <selection pane="bottomLeft" activeCell="C8" sqref="C8"/>
      <selection pane="bottomRight" activeCell="C8" sqref="C8"/>
    </sheetView>
  </sheetViews>
  <sheetFormatPr defaultRowHeight="15" x14ac:dyDescent="0.25"/>
  <cols>
    <col min="1" max="1" width="49.28515625" bestFit="1" customWidth="1"/>
    <col min="4" max="4" width="12.5703125" bestFit="1" customWidth="1"/>
    <col min="7" max="7" width="12.5703125" bestFit="1" customWidth="1"/>
    <col min="10" max="10" width="12.5703125" bestFit="1" customWidth="1"/>
    <col min="13" max="13" width="12.5703125" bestFit="1" customWidth="1"/>
    <col min="16" max="16" width="12.5703125" bestFit="1" customWidth="1"/>
    <col min="19" max="19" width="12.5703125" bestFit="1" customWidth="1"/>
    <col min="20" max="20" width="2.7109375" style="5" customWidth="1"/>
    <col min="34" max="34" width="42.5703125" bestFit="1" customWidth="1"/>
  </cols>
  <sheetData>
    <row r="1" spans="1:35" x14ac:dyDescent="0.25">
      <c r="A1" s="30">
        <v>1</v>
      </c>
      <c r="B1" s="30">
        <v>2</v>
      </c>
      <c r="C1" s="30">
        <v>3</v>
      </c>
      <c r="D1" s="30">
        <v>4</v>
      </c>
      <c r="E1" s="30">
        <v>5</v>
      </c>
      <c r="F1" s="30">
        <v>6</v>
      </c>
      <c r="G1" s="30">
        <v>7</v>
      </c>
      <c r="H1" s="30">
        <v>8</v>
      </c>
      <c r="I1" s="30">
        <v>9</v>
      </c>
      <c r="J1" s="30">
        <v>10</v>
      </c>
      <c r="K1" s="30">
        <v>11</v>
      </c>
      <c r="L1" s="30">
        <v>12</v>
      </c>
      <c r="M1" s="30">
        <v>13</v>
      </c>
      <c r="N1" s="30">
        <v>14</v>
      </c>
      <c r="O1" s="30">
        <v>15</v>
      </c>
      <c r="P1" s="30">
        <v>16</v>
      </c>
      <c r="Q1" s="30">
        <v>17</v>
      </c>
      <c r="R1" s="30">
        <v>18</v>
      </c>
      <c r="S1" s="30">
        <v>19</v>
      </c>
      <c r="T1" s="30">
        <v>20</v>
      </c>
      <c r="U1" s="30">
        <v>21</v>
      </c>
      <c r="V1" s="30">
        <v>22</v>
      </c>
      <c r="W1" s="30">
        <v>23</v>
      </c>
      <c r="X1" s="30">
        <v>24</v>
      </c>
      <c r="Y1" s="30">
        <v>25</v>
      </c>
      <c r="Z1" s="30">
        <v>26</v>
      </c>
      <c r="AA1" s="30">
        <v>27</v>
      </c>
      <c r="AB1" s="30">
        <v>28</v>
      </c>
      <c r="AC1" s="30">
        <v>29</v>
      </c>
      <c r="AD1" s="30">
        <v>30</v>
      </c>
      <c r="AE1" s="30">
        <v>31</v>
      </c>
      <c r="AF1" s="30">
        <v>32</v>
      </c>
    </row>
    <row r="2" spans="1:35" x14ac:dyDescent="0.25">
      <c r="B2" s="40" t="s">
        <v>60</v>
      </c>
      <c r="C2" s="40"/>
      <c r="D2" s="40"/>
      <c r="E2" s="40"/>
      <c r="F2" s="40"/>
      <c r="G2" s="40"/>
      <c r="H2" s="40"/>
      <c r="I2" s="40"/>
      <c r="J2" s="40"/>
      <c r="K2" s="40"/>
      <c r="L2" s="40"/>
      <c r="M2" s="40"/>
      <c r="N2" s="40"/>
      <c r="O2" s="40"/>
      <c r="P2" s="40"/>
      <c r="Q2" s="40"/>
      <c r="R2" s="40"/>
      <c r="S2" s="40"/>
      <c r="T2" s="39"/>
      <c r="U2" s="76"/>
      <c r="V2" s="76"/>
      <c r="W2" s="76"/>
      <c r="X2" s="76"/>
      <c r="Y2" s="76"/>
      <c r="Z2" s="76"/>
      <c r="AA2" s="76"/>
      <c r="AB2" s="76"/>
      <c r="AC2" s="76"/>
      <c r="AD2" s="76"/>
      <c r="AE2" s="76"/>
      <c r="AF2" s="76"/>
    </row>
    <row r="3" spans="1:35" x14ac:dyDescent="0.25">
      <c r="B3" s="49" t="s">
        <v>144</v>
      </c>
      <c r="C3" s="50"/>
      <c r="D3" s="49"/>
      <c r="E3" s="50"/>
      <c r="F3" s="50"/>
      <c r="G3" s="49"/>
      <c r="H3" s="50"/>
      <c r="I3" s="51"/>
      <c r="J3" s="49"/>
      <c r="K3" s="50"/>
      <c r="L3" s="51"/>
      <c r="M3" s="49"/>
      <c r="N3" s="50"/>
      <c r="O3" s="51"/>
      <c r="P3" s="49"/>
      <c r="Q3" s="51"/>
      <c r="R3" s="51"/>
      <c r="S3" s="49"/>
      <c r="T3" s="78"/>
      <c r="U3" s="79" t="s">
        <v>147</v>
      </c>
      <c r="V3" s="80"/>
      <c r="W3" s="81"/>
      <c r="X3" s="80"/>
      <c r="Y3" s="80"/>
      <c r="Z3" s="81"/>
      <c r="AA3" s="80"/>
      <c r="AB3" s="80"/>
      <c r="AC3" s="81"/>
      <c r="AD3" s="80"/>
      <c r="AE3" s="80"/>
      <c r="AF3" s="81"/>
    </row>
    <row r="4" spans="1:35" x14ac:dyDescent="0.25">
      <c r="B4" s="16">
        <v>2014</v>
      </c>
      <c r="C4" s="16">
        <v>2014</v>
      </c>
      <c r="D4" s="16">
        <v>2014</v>
      </c>
      <c r="E4" s="16">
        <v>2015</v>
      </c>
      <c r="F4" s="16">
        <v>2015</v>
      </c>
      <c r="G4" s="16">
        <v>2015</v>
      </c>
      <c r="H4" s="16">
        <v>2016</v>
      </c>
      <c r="I4" s="16">
        <v>2016</v>
      </c>
      <c r="J4" s="16">
        <v>2016</v>
      </c>
      <c r="K4" s="16">
        <v>2017</v>
      </c>
      <c r="L4" s="16">
        <v>2017</v>
      </c>
      <c r="M4" s="16">
        <v>2017</v>
      </c>
      <c r="N4" s="16">
        <v>2018</v>
      </c>
      <c r="O4" s="16">
        <v>2018</v>
      </c>
      <c r="P4" s="16">
        <v>2018</v>
      </c>
      <c r="Q4" s="45">
        <v>2019</v>
      </c>
      <c r="R4" s="45">
        <v>2019</v>
      </c>
      <c r="S4" s="45">
        <v>2019</v>
      </c>
      <c r="T4" s="1"/>
      <c r="U4" s="45">
        <v>2015</v>
      </c>
      <c r="V4" s="45">
        <v>2015</v>
      </c>
      <c r="W4" s="45">
        <v>2015</v>
      </c>
      <c r="X4" s="45">
        <v>2017</v>
      </c>
      <c r="Y4" s="45">
        <v>2017</v>
      </c>
      <c r="Z4" s="45">
        <v>2017</v>
      </c>
      <c r="AA4" s="45">
        <v>2018</v>
      </c>
      <c r="AB4" s="45">
        <v>2018</v>
      </c>
      <c r="AC4" s="45">
        <v>2018</v>
      </c>
      <c r="AD4" s="45">
        <v>2019</v>
      </c>
      <c r="AE4" s="45">
        <v>2019</v>
      </c>
      <c r="AF4" s="45">
        <v>2019</v>
      </c>
    </row>
    <row r="5" spans="1:35" ht="45" x14ac:dyDescent="0.25">
      <c r="A5" s="41" t="s">
        <v>45</v>
      </c>
      <c r="B5" s="44" t="s">
        <v>96</v>
      </c>
      <c r="C5" s="44" t="s">
        <v>145</v>
      </c>
      <c r="D5" s="44" t="s">
        <v>146</v>
      </c>
      <c r="E5" s="44" t="s">
        <v>96</v>
      </c>
      <c r="F5" s="44" t="s">
        <v>145</v>
      </c>
      <c r="G5" s="44" t="s">
        <v>146</v>
      </c>
      <c r="H5" s="44" t="s">
        <v>96</v>
      </c>
      <c r="I5" s="42" t="s">
        <v>145</v>
      </c>
      <c r="J5" s="44" t="s">
        <v>146</v>
      </c>
      <c r="K5" s="44" t="s">
        <v>96</v>
      </c>
      <c r="L5" s="42" t="s">
        <v>145</v>
      </c>
      <c r="M5" s="44" t="s">
        <v>146</v>
      </c>
      <c r="N5" s="44" t="s">
        <v>96</v>
      </c>
      <c r="O5" s="42" t="s">
        <v>145</v>
      </c>
      <c r="P5" s="44" t="s">
        <v>146</v>
      </c>
      <c r="Q5" s="44" t="s">
        <v>96</v>
      </c>
      <c r="R5" s="44" t="s">
        <v>145</v>
      </c>
      <c r="S5" s="44" t="s">
        <v>146</v>
      </c>
      <c r="T5" s="130"/>
      <c r="U5" s="42" t="s">
        <v>97</v>
      </c>
      <c r="V5" s="42" t="s">
        <v>148</v>
      </c>
      <c r="W5" s="42" t="s">
        <v>52</v>
      </c>
      <c r="X5" s="42" t="s">
        <v>97</v>
      </c>
      <c r="Y5" s="42" t="s">
        <v>148</v>
      </c>
      <c r="Z5" s="42" t="s">
        <v>52</v>
      </c>
      <c r="AA5" s="42" t="s">
        <v>97</v>
      </c>
      <c r="AB5" s="42" t="s">
        <v>148</v>
      </c>
      <c r="AC5" s="42" t="s">
        <v>52</v>
      </c>
      <c r="AD5" s="42" t="s">
        <v>97</v>
      </c>
      <c r="AE5" s="42" t="s">
        <v>148</v>
      </c>
      <c r="AF5" s="42" t="s">
        <v>52</v>
      </c>
    </row>
    <row r="6" spans="1:35" x14ac:dyDescent="0.25">
      <c r="A6" s="17" t="s">
        <v>0</v>
      </c>
      <c r="B6" s="34">
        <v>2</v>
      </c>
      <c r="C6" s="34">
        <v>342</v>
      </c>
      <c r="D6" s="36">
        <v>217832.2</v>
      </c>
      <c r="E6" s="34">
        <v>2</v>
      </c>
      <c r="F6" s="34">
        <v>334</v>
      </c>
      <c r="G6" s="36">
        <v>277147.74</v>
      </c>
      <c r="H6" s="34">
        <v>2</v>
      </c>
      <c r="I6" s="34">
        <v>360</v>
      </c>
      <c r="J6" s="36">
        <v>374982.87</v>
      </c>
      <c r="K6" s="34">
        <v>4</v>
      </c>
      <c r="L6" s="34">
        <v>376</v>
      </c>
      <c r="M6" s="36">
        <v>274706.54000000004</v>
      </c>
      <c r="N6" s="34">
        <v>2</v>
      </c>
      <c r="O6" s="34">
        <v>332</v>
      </c>
      <c r="P6" s="36">
        <v>196266.84</v>
      </c>
      <c r="Q6" s="132">
        <v>2</v>
      </c>
      <c r="R6" s="132">
        <v>298</v>
      </c>
      <c r="S6" s="115">
        <v>91632.41</v>
      </c>
      <c r="T6" s="1"/>
      <c r="U6" s="34">
        <v>5</v>
      </c>
      <c r="V6" s="34">
        <v>4</v>
      </c>
      <c r="W6" s="27">
        <v>0.8</v>
      </c>
      <c r="X6" s="95">
        <v>4</v>
      </c>
      <c r="Y6" s="95">
        <v>3</v>
      </c>
      <c r="Z6" s="27">
        <v>0.75</v>
      </c>
      <c r="AA6" s="95">
        <v>5</v>
      </c>
      <c r="AB6" s="95">
        <v>3</v>
      </c>
      <c r="AC6" s="27">
        <v>0.6</v>
      </c>
      <c r="AD6" s="57">
        <v>3</v>
      </c>
      <c r="AE6" s="57">
        <v>2</v>
      </c>
      <c r="AF6" s="104">
        <f t="shared" ref="AF6:AF51" si="0">AE6/AD6</f>
        <v>0.66666666666666663</v>
      </c>
      <c r="AG6" s="214" t="str">
        <f>IF(AH6=A6,"OK","N")</f>
        <v>N</v>
      </c>
      <c r="AH6" s="17" t="s">
        <v>375</v>
      </c>
      <c r="AI6">
        <v>91632.41</v>
      </c>
    </row>
    <row r="7" spans="1:35" x14ac:dyDescent="0.25">
      <c r="A7" s="17" t="s">
        <v>26</v>
      </c>
      <c r="B7" s="34">
        <v>6</v>
      </c>
      <c r="C7" s="34">
        <v>953</v>
      </c>
      <c r="D7" s="36">
        <v>25046761.289999999</v>
      </c>
      <c r="E7" s="34">
        <v>6</v>
      </c>
      <c r="F7" s="34">
        <v>888</v>
      </c>
      <c r="G7" s="36">
        <v>22032420.84</v>
      </c>
      <c r="H7" s="34">
        <v>6</v>
      </c>
      <c r="I7" s="34">
        <v>867</v>
      </c>
      <c r="J7" s="36">
        <v>36839322.250000007</v>
      </c>
      <c r="K7" s="34">
        <v>12</v>
      </c>
      <c r="L7" s="34">
        <v>785</v>
      </c>
      <c r="M7" s="36">
        <v>24161812.529999997</v>
      </c>
      <c r="N7" s="34">
        <v>6</v>
      </c>
      <c r="O7" s="34">
        <v>746</v>
      </c>
      <c r="P7" s="36">
        <v>24489797.580000006</v>
      </c>
      <c r="Q7" s="132">
        <v>9</v>
      </c>
      <c r="R7" s="132">
        <v>785</v>
      </c>
      <c r="S7" s="115">
        <v>26698307.25</v>
      </c>
      <c r="T7" s="1"/>
      <c r="U7" s="34">
        <v>9</v>
      </c>
      <c r="V7" s="34">
        <v>2</v>
      </c>
      <c r="W7" s="27">
        <v>0.22222222222222221</v>
      </c>
      <c r="X7" s="95">
        <v>7</v>
      </c>
      <c r="Y7" s="95">
        <v>3</v>
      </c>
      <c r="Z7" s="27">
        <v>0.42857142857142855</v>
      </c>
      <c r="AA7" s="95">
        <v>28</v>
      </c>
      <c r="AB7" s="95">
        <v>21</v>
      </c>
      <c r="AC7" s="27">
        <v>0.75</v>
      </c>
      <c r="AD7" s="57">
        <v>12</v>
      </c>
      <c r="AE7" s="57">
        <v>7</v>
      </c>
      <c r="AF7" s="104">
        <f t="shared" si="0"/>
        <v>0.58333333333333337</v>
      </c>
      <c r="AG7" s="214" t="str">
        <f t="shared" ref="AG7:AG51" si="1">IF(AH7=A7,"OK","N")</f>
        <v>OK</v>
      </c>
      <c r="AH7" t="s">
        <v>26</v>
      </c>
      <c r="AI7">
        <v>26698307.25</v>
      </c>
    </row>
    <row r="8" spans="1:35" x14ac:dyDescent="0.25">
      <c r="A8" s="17" t="s">
        <v>1</v>
      </c>
      <c r="B8" s="34">
        <v>27</v>
      </c>
      <c r="C8" s="34">
        <v>596</v>
      </c>
      <c r="D8" s="36">
        <v>5451090.4899999984</v>
      </c>
      <c r="E8" s="34">
        <v>26</v>
      </c>
      <c r="F8" s="34">
        <v>551</v>
      </c>
      <c r="G8" s="36">
        <v>4740776.6399999997</v>
      </c>
      <c r="H8" s="34">
        <v>23</v>
      </c>
      <c r="I8" s="34">
        <v>573</v>
      </c>
      <c r="J8" s="36">
        <v>4298120.5100000007</v>
      </c>
      <c r="K8" s="34">
        <v>42</v>
      </c>
      <c r="L8" s="34">
        <v>534</v>
      </c>
      <c r="M8" s="36">
        <v>4409479.26</v>
      </c>
      <c r="N8" s="34">
        <v>25</v>
      </c>
      <c r="O8" s="34">
        <v>484</v>
      </c>
      <c r="P8" s="36">
        <v>2468682.7699999996</v>
      </c>
      <c r="Q8" s="132">
        <v>31</v>
      </c>
      <c r="R8" s="132">
        <v>535</v>
      </c>
      <c r="S8" s="115">
        <v>3042992.2</v>
      </c>
      <c r="T8" s="1"/>
      <c r="U8" s="34">
        <v>43</v>
      </c>
      <c r="V8" s="34">
        <v>33</v>
      </c>
      <c r="W8" s="27">
        <v>0.76744186046511631</v>
      </c>
      <c r="X8" s="95">
        <v>46</v>
      </c>
      <c r="Y8" s="95">
        <v>33</v>
      </c>
      <c r="Z8" s="27">
        <v>0.71739130434782605</v>
      </c>
      <c r="AA8" s="95">
        <v>81</v>
      </c>
      <c r="AB8" s="95">
        <v>31</v>
      </c>
      <c r="AC8" s="27">
        <v>0.38271604938271603</v>
      </c>
      <c r="AD8" s="57">
        <v>72</v>
      </c>
      <c r="AE8" s="57">
        <v>37</v>
      </c>
      <c r="AF8" s="104">
        <f t="shared" si="0"/>
        <v>0.51388888888888884</v>
      </c>
      <c r="AG8" s="214" t="str">
        <f t="shared" si="1"/>
        <v>OK</v>
      </c>
      <c r="AH8" t="s">
        <v>1</v>
      </c>
      <c r="AI8">
        <v>3042992.2</v>
      </c>
    </row>
    <row r="9" spans="1:35" x14ac:dyDescent="0.25">
      <c r="A9" s="17" t="s">
        <v>2</v>
      </c>
      <c r="B9" s="34">
        <v>60</v>
      </c>
      <c r="C9" s="34">
        <v>1464</v>
      </c>
      <c r="D9" s="36">
        <v>2977497.3000000007</v>
      </c>
      <c r="E9" s="34">
        <v>60</v>
      </c>
      <c r="F9" s="34">
        <v>1329</v>
      </c>
      <c r="G9" s="36">
        <v>2784578.4400000004</v>
      </c>
      <c r="H9" s="34">
        <v>52</v>
      </c>
      <c r="I9" s="34">
        <v>1341</v>
      </c>
      <c r="J9" s="36">
        <v>2853917.6099999994</v>
      </c>
      <c r="K9" s="34">
        <v>35</v>
      </c>
      <c r="L9" s="34">
        <v>1058</v>
      </c>
      <c r="M9" s="36">
        <v>2567076.66</v>
      </c>
      <c r="N9" s="34">
        <v>17</v>
      </c>
      <c r="O9" s="34">
        <v>970</v>
      </c>
      <c r="P9" s="36">
        <v>2115535.4000000004</v>
      </c>
      <c r="Q9" s="132">
        <v>18</v>
      </c>
      <c r="R9" s="132">
        <v>901</v>
      </c>
      <c r="S9" s="115">
        <v>2309734.89</v>
      </c>
      <c r="T9" s="1"/>
      <c r="U9" s="34">
        <v>79</v>
      </c>
      <c r="V9" s="34">
        <v>57</v>
      </c>
      <c r="W9" s="27">
        <v>0.72151898734177211</v>
      </c>
      <c r="X9" s="95">
        <v>47</v>
      </c>
      <c r="Y9" s="95">
        <v>40</v>
      </c>
      <c r="Z9" s="27">
        <v>0.85106382978723405</v>
      </c>
      <c r="AA9" s="95">
        <v>122</v>
      </c>
      <c r="AB9" s="95">
        <v>69</v>
      </c>
      <c r="AC9" s="27">
        <v>0.56557377049180324</v>
      </c>
      <c r="AD9" s="57">
        <v>53</v>
      </c>
      <c r="AE9" s="57">
        <v>44</v>
      </c>
      <c r="AF9" s="104">
        <f t="shared" si="0"/>
        <v>0.83018867924528306</v>
      </c>
      <c r="AG9" s="214" t="str">
        <f t="shared" si="1"/>
        <v>OK</v>
      </c>
      <c r="AH9" t="s">
        <v>2</v>
      </c>
      <c r="AI9">
        <v>2309734.89</v>
      </c>
    </row>
    <row r="10" spans="1:35" x14ac:dyDescent="0.25">
      <c r="A10" s="17" t="s">
        <v>3</v>
      </c>
      <c r="B10" s="34">
        <v>1</v>
      </c>
      <c r="C10" s="34">
        <v>45</v>
      </c>
      <c r="D10" s="36">
        <v>64059.08</v>
      </c>
      <c r="E10" s="34">
        <v>1</v>
      </c>
      <c r="F10" s="34">
        <v>56</v>
      </c>
      <c r="G10" s="36">
        <v>147813.32999999999</v>
      </c>
      <c r="H10" s="34">
        <v>1</v>
      </c>
      <c r="I10" s="34">
        <v>21</v>
      </c>
      <c r="J10" s="36">
        <v>81670.44</v>
      </c>
      <c r="K10" s="34">
        <v>2</v>
      </c>
      <c r="L10" s="34">
        <v>26</v>
      </c>
      <c r="M10" s="36">
        <v>57126.659999999996</v>
      </c>
      <c r="N10" s="34">
        <v>1</v>
      </c>
      <c r="O10" s="34">
        <v>25</v>
      </c>
      <c r="P10" s="36">
        <v>30515.87</v>
      </c>
      <c r="Q10" s="132">
        <v>1</v>
      </c>
      <c r="R10" s="132">
        <v>23</v>
      </c>
      <c r="S10" s="115">
        <v>5499945.7800000003</v>
      </c>
      <c r="T10" s="1"/>
      <c r="U10" s="34">
        <v>2</v>
      </c>
      <c r="V10" s="34">
        <v>2</v>
      </c>
      <c r="W10" s="27">
        <v>1</v>
      </c>
      <c r="X10" s="95">
        <v>3</v>
      </c>
      <c r="Y10" s="95">
        <v>2</v>
      </c>
      <c r="Z10" s="27">
        <v>0.66666666666666663</v>
      </c>
      <c r="AA10" s="95">
        <v>4</v>
      </c>
      <c r="AB10" s="95">
        <v>3</v>
      </c>
      <c r="AC10" s="27">
        <v>0.75</v>
      </c>
      <c r="AD10" s="57">
        <v>2</v>
      </c>
      <c r="AE10" s="57">
        <v>2</v>
      </c>
      <c r="AF10" s="104">
        <f t="shared" si="0"/>
        <v>1</v>
      </c>
      <c r="AG10" s="214" t="str">
        <f t="shared" si="1"/>
        <v>OK</v>
      </c>
      <c r="AH10" t="s">
        <v>3</v>
      </c>
      <c r="AI10">
        <v>5499945.7800000003</v>
      </c>
    </row>
    <row r="11" spans="1:35" x14ac:dyDescent="0.25">
      <c r="A11" s="17" t="s">
        <v>33</v>
      </c>
      <c r="B11" s="34">
        <v>1</v>
      </c>
      <c r="C11" s="34">
        <v>21</v>
      </c>
      <c r="D11" s="36">
        <v>84875.18</v>
      </c>
      <c r="E11" s="34">
        <v>1</v>
      </c>
      <c r="F11" s="34">
        <v>17</v>
      </c>
      <c r="G11" s="36">
        <v>98596.43</v>
      </c>
      <c r="H11" s="34">
        <v>2</v>
      </c>
      <c r="I11" s="34">
        <v>36</v>
      </c>
      <c r="J11" s="36">
        <v>60995.119999999995</v>
      </c>
      <c r="K11" s="34">
        <v>1</v>
      </c>
      <c r="L11" s="34">
        <v>42</v>
      </c>
      <c r="M11" s="36">
        <v>102396.71</v>
      </c>
      <c r="N11" s="34">
        <v>1</v>
      </c>
      <c r="O11" s="34">
        <v>33</v>
      </c>
      <c r="P11" s="36">
        <v>84197.51</v>
      </c>
      <c r="Q11" s="132">
        <v>1</v>
      </c>
      <c r="R11" s="132">
        <v>49</v>
      </c>
      <c r="S11" s="115">
        <v>64675.92</v>
      </c>
      <c r="T11" s="1"/>
      <c r="U11" s="34">
        <v>1</v>
      </c>
      <c r="V11" s="34">
        <v>0</v>
      </c>
      <c r="W11" s="27">
        <v>0</v>
      </c>
      <c r="X11" s="95">
        <v>1</v>
      </c>
      <c r="Y11" s="95">
        <v>1</v>
      </c>
      <c r="Z11" s="27">
        <v>1</v>
      </c>
      <c r="AA11" s="95">
        <v>4</v>
      </c>
      <c r="AB11" s="95">
        <v>2</v>
      </c>
      <c r="AC11" s="27">
        <v>0.5</v>
      </c>
      <c r="AD11" s="57">
        <v>3</v>
      </c>
      <c r="AE11" s="57">
        <v>1</v>
      </c>
      <c r="AF11" s="104">
        <f t="shared" si="0"/>
        <v>0.33333333333333331</v>
      </c>
      <c r="AG11" s="214" t="str">
        <f t="shared" si="1"/>
        <v>OK</v>
      </c>
      <c r="AH11" t="s">
        <v>33</v>
      </c>
      <c r="AI11">
        <v>64675.92</v>
      </c>
    </row>
    <row r="12" spans="1:35" x14ac:dyDescent="0.25">
      <c r="A12" s="17" t="s">
        <v>23</v>
      </c>
      <c r="B12" s="34">
        <v>3</v>
      </c>
      <c r="C12" s="34">
        <v>125</v>
      </c>
      <c r="D12" s="36">
        <v>173733.18</v>
      </c>
      <c r="E12" s="34">
        <v>3</v>
      </c>
      <c r="F12" s="34">
        <v>208</v>
      </c>
      <c r="G12" s="36">
        <v>166815.89000000001</v>
      </c>
      <c r="H12" s="34">
        <v>3</v>
      </c>
      <c r="I12" s="34">
        <v>182</v>
      </c>
      <c r="J12" s="36">
        <v>520017.94</v>
      </c>
      <c r="K12" s="34">
        <v>5</v>
      </c>
      <c r="L12" s="34">
        <v>120</v>
      </c>
      <c r="M12" s="36">
        <v>1323739.5</v>
      </c>
      <c r="N12" s="34">
        <v>3</v>
      </c>
      <c r="O12" s="34">
        <v>96</v>
      </c>
      <c r="P12" s="36">
        <v>412937.47000000003</v>
      </c>
      <c r="Q12" s="132">
        <v>4</v>
      </c>
      <c r="R12" s="132">
        <v>174</v>
      </c>
      <c r="S12" s="115">
        <v>2381984.37</v>
      </c>
      <c r="T12" s="1"/>
      <c r="U12" s="34">
        <v>3</v>
      </c>
      <c r="V12" s="34">
        <v>1</v>
      </c>
      <c r="W12" s="27">
        <v>0.33333333333333331</v>
      </c>
      <c r="X12" s="95">
        <v>5</v>
      </c>
      <c r="Y12" s="95">
        <v>4</v>
      </c>
      <c r="Z12" s="27">
        <v>0.8</v>
      </c>
      <c r="AA12" s="95">
        <v>23</v>
      </c>
      <c r="AB12" s="95">
        <v>11</v>
      </c>
      <c r="AC12" s="27">
        <v>0.47826086956521741</v>
      </c>
      <c r="AD12" s="57">
        <v>14</v>
      </c>
      <c r="AE12" s="57">
        <v>11</v>
      </c>
      <c r="AF12" s="104">
        <f t="shared" si="0"/>
        <v>0.7857142857142857</v>
      </c>
      <c r="AG12" s="214" t="str">
        <f t="shared" si="1"/>
        <v>N</v>
      </c>
      <c r="AH12" s="17" t="s">
        <v>338</v>
      </c>
      <c r="AI12">
        <v>2381984.37</v>
      </c>
    </row>
    <row r="13" spans="1:35" x14ac:dyDescent="0.25">
      <c r="A13" s="17" t="s">
        <v>4</v>
      </c>
      <c r="B13" s="34">
        <v>24</v>
      </c>
      <c r="C13" s="34">
        <v>918</v>
      </c>
      <c r="D13" s="36">
        <v>9952747.8600000031</v>
      </c>
      <c r="E13" s="34">
        <v>23</v>
      </c>
      <c r="F13" s="34">
        <v>970</v>
      </c>
      <c r="G13" s="36">
        <v>10891462.359999998</v>
      </c>
      <c r="H13" s="34">
        <v>20</v>
      </c>
      <c r="I13" s="34">
        <v>936</v>
      </c>
      <c r="J13" s="36">
        <v>10796059.160000004</v>
      </c>
      <c r="K13" s="34">
        <v>40</v>
      </c>
      <c r="L13" s="34">
        <v>911</v>
      </c>
      <c r="M13" s="36">
        <v>11514907.599999998</v>
      </c>
      <c r="N13" s="34">
        <v>24</v>
      </c>
      <c r="O13" s="34">
        <v>866</v>
      </c>
      <c r="P13" s="36">
        <v>13087911.250000002</v>
      </c>
      <c r="Q13" s="132">
        <v>20</v>
      </c>
      <c r="R13" s="132">
        <v>799</v>
      </c>
      <c r="S13" s="115">
        <v>13388259.35</v>
      </c>
      <c r="T13" s="1"/>
      <c r="U13" s="34">
        <v>39</v>
      </c>
      <c r="V13" s="34">
        <v>26</v>
      </c>
      <c r="W13" s="27">
        <v>0.66666666666666663</v>
      </c>
      <c r="X13" s="95">
        <v>40</v>
      </c>
      <c r="Y13" s="95">
        <v>28</v>
      </c>
      <c r="Z13" s="27">
        <v>0.7</v>
      </c>
      <c r="AA13" s="95">
        <v>63</v>
      </c>
      <c r="AB13" s="95">
        <v>40</v>
      </c>
      <c r="AC13" s="27">
        <v>0.63492063492063489</v>
      </c>
      <c r="AD13" s="57">
        <v>47</v>
      </c>
      <c r="AE13" s="57">
        <v>27</v>
      </c>
      <c r="AF13" s="104">
        <f t="shared" si="0"/>
        <v>0.57446808510638303</v>
      </c>
      <c r="AG13" s="214" t="str">
        <f t="shared" si="1"/>
        <v>OK</v>
      </c>
      <c r="AH13" t="s">
        <v>4</v>
      </c>
      <c r="AI13">
        <v>13388259.35</v>
      </c>
    </row>
    <row r="14" spans="1:35" x14ac:dyDescent="0.25">
      <c r="A14" s="17" t="s">
        <v>28</v>
      </c>
      <c r="B14" s="34">
        <v>16</v>
      </c>
      <c r="C14" s="34">
        <v>2378</v>
      </c>
      <c r="D14" s="36">
        <v>5488567.21</v>
      </c>
      <c r="E14" s="34">
        <v>12</v>
      </c>
      <c r="F14" s="34">
        <v>2148</v>
      </c>
      <c r="G14" s="36">
        <v>6228697.5300000003</v>
      </c>
      <c r="H14" s="34">
        <v>12</v>
      </c>
      <c r="I14" s="34">
        <v>2044</v>
      </c>
      <c r="J14" s="36">
        <v>4275886.92</v>
      </c>
      <c r="K14" s="34">
        <v>22</v>
      </c>
      <c r="L14" s="34">
        <v>1931</v>
      </c>
      <c r="M14" s="36">
        <v>4079213.63</v>
      </c>
      <c r="N14" s="34">
        <v>12</v>
      </c>
      <c r="O14" s="34">
        <v>1956</v>
      </c>
      <c r="P14" s="36">
        <v>4323879.62</v>
      </c>
      <c r="Q14" s="132">
        <v>15</v>
      </c>
      <c r="R14" s="132">
        <v>1961</v>
      </c>
      <c r="S14" s="115">
        <v>4459291.7300000004</v>
      </c>
      <c r="T14" s="1"/>
      <c r="U14" s="34">
        <v>14</v>
      </c>
      <c r="V14" s="34">
        <v>12</v>
      </c>
      <c r="W14" s="27">
        <v>0.8571428571428571</v>
      </c>
      <c r="X14" s="95">
        <v>19</v>
      </c>
      <c r="Y14" s="95">
        <v>17</v>
      </c>
      <c r="Z14" s="27">
        <v>0.89473684210526316</v>
      </c>
      <c r="AA14" s="95">
        <v>25</v>
      </c>
      <c r="AB14" s="95">
        <v>12</v>
      </c>
      <c r="AC14" s="27">
        <v>0.48</v>
      </c>
      <c r="AD14" s="57">
        <v>21</v>
      </c>
      <c r="AE14" s="57">
        <v>13</v>
      </c>
      <c r="AF14" s="104">
        <f t="shared" si="0"/>
        <v>0.61904761904761907</v>
      </c>
      <c r="AG14" s="214" t="str">
        <f t="shared" si="1"/>
        <v>OK</v>
      </c>
      <c r="AH14" t="s">
        <v>28</v>
      </c>
      <c r="AI14">
        <v>4459291.7300000004</v>
      </c>
    </row>
    <row r="15" spans="1:35" x14ac:dyDescent="0.25">
      <c r="A15" s="17" t="s">
        <v>29</v>
      </c>
      <c r="B15" s="34">
        <v>20</v>
      </c>
      <c r="C15" s="34">
        <v>2184</v>
      </c>
      <c r="D15" s="36">
        <v>232226289.58999997</v>
      </c>
      <c r="E15" s="34">
        <v>17</v>
      </c>
      <c r="F15" s="34">
        <v>2030</v>
      </c>
      <c r="G15" s="36">
        <v>250380403.08000001</v>
      </c>
      <c r="H15" s="34">
        <v>17</v>
      </c>
      <c r="I15" s="34">
        <v>2010</v>
      </c>
      <c r="J15" s="36">
        <v>241633541.72999999</v>
      </c>
      <c r="K15" s="34">
        <v>18</v>
      </c>
      <c r="L15" s="34">
        <v>1957</v>
      </c>
      <c r="M15" s="36">
        <v>258905062.63999999</v>
      </c>
      <c r="N15" s="34">
        <v>15</v>
      </c>
      <c r="O15" s="34">
        <v>2021</v>
      </c>
      <c r="P15" s="36">
        <v>269399020.66000003</v>
      </c>
      <c r="Q15" s="132">
        <v>12</v>
      </c>
      <c r="R15" s="132">
        <v>2146</v>
      </c>
      <c r="S15" s="115">
        <v>270172069.56</v>
      </c>
      <c r="T15" s="1"/>
      <c r="U15" s="34">
        <v>32</v>
      </c>
      <c r="V15" s="34">
        <v>27</v>
      </c>
      <c r="W15" s="27">
        <v>0.84375</v>
      </c>
      <c r="X15" s="95">
        <v>28</v>
      </c>
      <c r="Y15" s="95">
        <v>23</v>
      </c>
      <c r="Z15" s="27">
        <v>0.8214285714285714</v>
      </c>
      <c r="AA15" s="95">
        <v>45</v>
      </c>
      <c r="AB15" s="95">
        <v>27</v>
      </c>
      <c r="AC15" s="27">
        <v>0.6</v>
      </c>
      <c r="AD15" s="57">
        <v>31</v>
      </c>
      <c r="AE15" s="57">
        <v>24</v>
      </c>
      <c r="AF15" s="104">
        <f t="shared" si="0"/>
        <v>0.77419354838709675</v>
      </c>
      <c r="AG15" s="214" t="str">
        <f t="shared" si="1"/>
        <v>OK</v>
      </c>
      <c r="AH15" t="s">
        <v>29</v>
      </c>
      <c r="AI15">
        <v>270172069.56</v>
      </c>
    </row>
    <row r="16" spans="1:35" x14ac:dyDescent="0.25">
      <c r="A16" s="17" t="s">
        <v>5</v>
      </c>
      <c r="B16" s="34">
        <v>1</v>
      </c>
      <c r="C16" s="34">
        <v>41</v>
      </c>
      <c r="D16" s="36">
        <v>201322.99</v>
      </c>
      <c r="E16" s="34">
        <v>1</v>
      </c>
      <c r="F16" s="34">
        <v>47</v>
      </c>
      <c r="G16" s="36">
        <v>27807.7</v>
      </c>
      <c r="H16" s="34">
        <v>1</v>
      </c>
      <c r="I16" s="34">
        <v>40</v>
      </c>
      <c r="J16" s="36">
        <v>37097.089999999997</v>
      </c>
      <c r="K16" s="34">
        <v>2</v>
      </c>
      <c r="L16" s="34">
        <v>29</v>
      </c>
      <c r="M16" s="36">
        <v>22430.34</v>
      </c>
      <c r="N16" s="34">
        <v>1</v>
      </c>
      <c r="O16" s="34">
        <v>36</v>
      </c>
      <c r="P16" s="36">
        <v>34761.550000000003</v>
      </c>
      <c r="Q16" s="132">
        <v>1</v>
      </c>
      <c r="R16" s="132">
        <v>41</v>
      </c>
      <c r="S16" s="115">
        <v>251451.1</v>
      </c>
      <c r="T16" s="1"/>
      <c r="U16" s="34">
        <v>2</v>
      </c>
      <c r="V16" s="34">
        <v>1</v>
      </c>
      <c r="W16" s="27">
        <v>0.5</v>
      </c>
      <c r="X16" s="95">
        <v>1</v>
      </c>
      <c r="Y16" s="95">
        <v>1</v>
      </c>
      <c r="Z16" s="27">
        <v>1</v>
      </c>
      <c r="AA16" s="95">
        <v>4</v>
      </c>
      <c r="AB16" s="95">
        <v>3</v>
      </c>
      <c r="AC16" s="27">
        <v>0.75</v>
      </c>
      <c r="AD16" s="57">
        <v>2</v>
      </c>
      <c r="AE16" s="57">
        <v>1</v>
      </c>
      <c r="AF16" s="104">
        <f t="shared" si="0"/>
        <v>0.5</v>
      </c>
      <c r="AG16" s="214" t="str">
        <f t="shared" si="1"/>
        <v>OK</v>
      </c>
      <c r="AH16" t="s">
        <v>5</v>
      </c>
      <c r="AI16">
        <v>251451.1</v>
      </c>
    </row>
    <row r="17" spans="1:35" x14ac:dyDescent="0.25">
      <c r="A17" s="17" t="s">
        <v>22</v>
      </c>
      <c r="B17" s="34">
        <v>37</v>
      </c>
      <c r="C17" s="34">
        <v>4207</v>
      </c>
      <c r="D17" s="36">
        <v>146826975.43000007</v>
      </c>
      <c r="E17" s="34">
        <v>38</v>
      </c>
      <c r="F17" s="34">
        <v>5403</v>
      </c>
      <c r="G17" s="36">
        <v>134156426.62000002</v>
      </c>
      <c r="H17" s="34">
        <v>37</v>
      </c>
      <c r="I17" s="34">
        <v>6136</v>
      </c>
      <c r="J17" s="36">
        <v>142729757.20000002</v>
      </c>
      <c r="K17" s="34">
        <v>58</v>
      </c>
      <c r="L17" s="34">
        <v>5118</v>
      </c>
      <c r="M17" s="36">
        <v>100077256.58</v>
      </c>
      <c r="N17" s="34">
        <v>39</v>
      </c>
      <c r="O17" s="34">
        <v>5993</v>
      </c>
      <c r="P17" s="36">
        <v>123133998.39</v>
      </c>
      <c r="Q17" s="132">
        <v>41</v>
      </c>
      <c r="R17" s="132">
        <v>6158</v>
      </c>
      <c r="S17" s="115">
        <v>108986967.89999999</v>
      </c>
      <c r="T17" s="1"/>
      <c r="U17" s="34">
        <v>48</v>
      </c>
      <c r="V17" s="34">
        <v>30</v>
      </c>
      <c r="W17" s="27">
        <v>0.625</v>
      </c>
      <c r="X17" s="95">
        <v>48</v>
      </c>
      <c r="Y17" s="95">
        <v>27</v>
      </c>
      <c r="Z17" s="27">
        <v>0.5625</v>
      </c>
      <c r="AA17" s="95">
        <v>160</v>
      </c>
      <c r="AB17" s="95">
        <v>73</v>
      </c>
      <c r="AC17" s="27">
        <v>0.45624999999999999</v>
      </c>
      <c r="AD17" s="57">
        <v>81</v>
      </c>
      <c r="AE17" s="57">
        <v>41</v>
      </c>
      <c r="AF17" s="104">
        <f t="shared" si="0"/>
        <v>0.50617283950617287</v>
      </c>
      <c r="AG17" s="214" t="str">
        <f t="shared" si="1"/>
        <v>N</v>
      </c>
      <c r="AH17" t="s">
        <v>376</v>
      </c>
      <c r="AI17">
        <v>108986967.89999999</v>
      </c>
    </row>
    <row r="18" spans="1:35" x14ac:dyDescent="0.25">
      <c r="A18" s="17" t="s">
        <v>7</v>
      </c>
      <c r="B18" s="34">
        <v>1</v>
      </c>
      <c r="C18" s="34">
        <v>276</v>
      </c>
      <c r="D18" s="36">
        <v>4324659.3099999996</v>
      </c>
      <c r="E18" s="34">
        <v>1</v>
      </c>
      <c r="F18" s="34">
        <v>305</v>
      </c>
      <c r="G18" s="36">
        <v>4643415.29</v>
      </c>
      <c r="H18" s="34">
        <v>1</v>
      </c>
      <c r="I18" s="34">
        <v>266</v>
      </c>
      <c r="J18" s="36">
        <v>2894345.99</v>
      </c>
      <c r="K18" s="34">
        <v>2</v>
      </c>
      <c r="L18" s="34">
        <v>255</v>
      </c>
      <c r="M18" s="36">
        <v>2600692.21</v>
      </c>
      <c r="N18" s="34">
        <v>2</v>
      </c>
      <c r="O18" s="34">
        <v>219</v>
      </c>
      <c r="P18" s="36">
        <v>2487160.98</v>
      </c>
      <c r="Q18" s="132">
        <v>2</v>
      </c>
      <c r="R18" s="132">
        <v>181</v>
      </c>
      <c r="S18" s="115">
        <v>1639813.72</v>
      </c>
      <c r="T18" s="1"/>
      <c r="U18" s="34">
        <v>3</v>
      </c>
      <c r="V18" s="34">
        <v>2</v>
      </c>
      <c r="W18" s="27">
        <v>0.66666666666666663</v>
      </c>
      <c r="X18" s="95">
        <v>2</v>
      </c>
      <c r="Y18" s="95">
        <v>2</v>
      </c>
      <c r="Z18" s="27">
        <v>1</v>
      </c>
      <c r="AA18" s="95">
        <v>4</v>
      </c>
      <c r="AB18" s="95">
        <v>4</v>
      </c>
      <c r="AC18" s="27">
        <v>1</v>
      </c>
      <c r="AD18" s="57">
        <v>4</v>
      </c>
      <c r="AE18" s="57">
        <v>4</v>
      </c>
      <c r="AF18" s="104">
        <f t="shared" si="0"/>
        <v>1</v>
      </c>
      <c r="AG18" s="214" t="str">
        <f t="shared" si="1"/>
        <v>OK</v>
      </c>
      <c r="AH18" t="s">
        <v>7</v>
      </c>
      <c r="AI18">
        <v>1639813.72</v>
      </c>
    </row>
    <row r="19" spans="1:35" x14ac:dyDescent="0.25">
      <c r="A19" s="17" t="s">
        <v>6</v>
      </c>
      <c r="B19" s="34">
        <v>1</v>
      </c>
      <c r="C19" s="34">
        <v>512</v>
      </c>
      <c r="D19" s="36">
        <v>2914201.44</v>
      </c>
      <c r="E19" s="34">
        <v>1</v>
      </c>
      <c r="F19" s="34">
        <v>460</v>
      </c>
      <c r="G19" s="36">
        <v>2876060.41</v>
      </c>
      <c r="H19" s="34">
        <v>2</v>
      </c>
      <c r="I19" s="34">
        <v>396</v>
      </c>
      <c r="J19" s="36">
        <v>2746256.9099999997</v>
      </c>
      <c r="K19" s="34">
        <v>1</v>
      </c>
      <c r="L19" s="34">
        <v>398</v>
      </c>
      <c r="M19" s="36">
        <v>2629372.67</v>
      </c>
      <c r="N19" s="34">
        <v>1</v>
      </c>
      <c r="O19" s="34">
        <v>284</v>
      </c>
      <c r="P19" s="36">
        <v>2487300.25</v>
      </c>
      <c r="Q19" s="132">
        <v>1</v>
      </c>
      <c r="R19" s="132">
        <v>254</v>
      </c>
      <c r="S19" s="115">
        <v>2438463.8199999998</v>
      </c>
      <c r="T19" s="1"/>
      <c r="U19" s="34">
        <v>2</v>
      </c>
      <c r="V19" s="34">
        <v>2</v>
      </c>
      <c r="W19" s="27">
        <v>1</v>
      </c>
      <c r="X19" s="95">
        <v>1</v>
      </c>
      <c r="Y19" s="95">
        <v>1</v>
      </c>
      <c r="Z19" s="27">
        <v>1</v>
      </c>
      <c r="AA19" s="95">
        <v>6</v>
      </c>
      <c r="AB19" s="95">
        <v>2</v>
      </c>
      <c r="AC19" s="27">
        <v>0.33333333333333331</v>
      </c>
      <c r="AD19" s="57">
        <v>3</v>
      </c>
      <c r="AE19" s="57">
        <v>1</v>
      </c>
      <c r="AF19" s="104">
        <f t="shared" si="0"/>
        <v>0.33333333333333331</v>
      </c>
      <c r="AG19" s="214" t="str">
        <f t="shared" si="1"/>
        <v>OK</v>
      </c>
      <c r="AH19" t="s">
        <v>6</v>
      </c>
      <c r="AI19">
        <v>2438463.8199999998</v>
      </c>
    </row>
    <row r="20" spans="1:35" x14ac:dyDescent="0.25">
      <c r="A20" s="17" t="s">
        <v>30</v>
      </c>
      <c r="B20" s="34">
        <v>1</v>
      </c>
      <c r="C20" s="34">
        <v>7</v>
      </c>
      <c r="D20" s="36">
        <v>17367.07</v>
      </c>
      <c r="E20" s="34">
        <v>1</v>
      </c>
      <c r="F20" s="34">
        <v>1</v>
      </c>
      <c r="G20" s="36">
        <v>225</v>
      </c>
      <c r="H20" s="34">
        <v>1</v>
      </c>
      <c r="I20" s="34">
        <v>3</v>
      </c>
      <c r="J20" s="36">
        <v>1319.88</v>
      </c>
      <c r="K20" s="34">
        <v>2</v>
      </c>
      <c r="L20" s="34">
        <v>4</v>
      </c>
      <c r="M20" s="36">
        <v>3960.7</v>
      </c>
      <c r="N20" s="34">
        <v>1</v>
      </c>
      <c r="O20" s="34">
        <v>4</v>
      </c>
      <c r="P20" s="36">
        <v>2742.07</v>
      </c>
      <c r="Q20" s="132">
        <v>1</v>
      </c>
      <c r="R20" s="132">
        <v>3</v>
      </c>
      <c r="S20" s="115">
        <v>633.19000000000005</v>
      </c>
      <c r="T20" s="1"/>
      <c r="U20" s="34"/>
      <c r="V20" s="34"/>
      <c r="W20" s="27"/>
      <c r="X20" s="95">
        <v>1</v>
      </c>
      <c r="Y20" s="95">
        <v>1</v>
      </c>
      <c r="Z20" s="27">
        <v>1</v>
      </c>
      <c r="AA20" s="95">
        <v>1</v>
      </c>
      <c r="AB20" s="95">
        <v>1</v>
      </c>
      <c r="AC20" s="27">
        <v>1</v>
      </c>
      <c r="AD20" s="57">
        <v>1</v>
      </c>
      <c r="AE20" s="57">
        <v>1</v>
      </c>
      <c r="AF20" s="104">
        <f t="shared" si="0"/>
        <v>1</v>
      </c>
      <c r="AG20" s="214" t="str">
        <f t="shared" si="1"/>
        <v>OK</v>
      </c>
      <c r="AH20" t="s">
        <v>30</v>
      </c>
      <c r="AI20">
        <v>633.19000000000005</v>
      </c>
    </row>
    <row r="21" spans="1:35" x14ac:dyDescent="0.25">
      <c r="A21" s="17" t="s">
        <v>8</v>
      </c>
      <c r="B21" s="34">
        <v>9</v>
      </c>
      <c r="C21" s="34">
        <v>382</v>
      </c>
      <c r="D21" s="36">
        <v>1334094.6200000001</v>
      </c>
      <c r="E21" s="34">
        <v>8</v>
      </c>
      <c r="F21" s="34">
        <v>327</v>
      </c>
      <c r="G21" s="36">
        <v>1615335.18</v>
      </c>
      <c r="H21" s="34">
        <v>8</v>
      </c>
      <c r="I21" s="34">
        <v>355</v>
      </c>
      <c r="J21" s="36">
        <v>1448987.8900000001</v>
      </c>
      <c r="K21" s="34">
        <v>15</v>
      </c>
      <c r="L21" s="34">
        <v>309</v>
      </c>
      <c r="M21" s="36">
        <v>1253603.8099999998</v>
      </c>
      <c r="N21" s="34">
        <v>8</v>
      </c>
      <c r="O21" s="34">
        <v>308</v>
      </c>
      <c r="P21" s="36">
        <v>992546.26</v>
      </c>
      <c r="Q21" s="132">
        <v>9</v>
      </c>
      <c r="R21" s="132">
        <v>239</v>
      </c>
      <c r="S21" s="115">
        <v>1650476.4099999997</v>
      </c>
      <c r="T21" s="1"/>
      <c r="U21" s="34">
        <v>18</v>
      </c>
      <c r="V21" s="34">
        <v>15</v>
      </c>
      <c r="W21" s="27">
        <v>0.83333333333333337</v>
      </c>
      <c r="X21" s="95">
        <v>17</v>
      </c>
      <c r="Y21" s="95">
        <v>9</v>
      </c>
      <c r="Z21" s="27">
        <v>0.52941176470588236</v>
      </c>
      <c r="AA21" s="95">
        <v>22</v>
      </c>
      <c r="AB21" s="95">
        <v>11</v>
      </c>
      <c r="AC21" s="27">
        <v>0.5</v>
      </c>
      <c r="AD21" s="57">
        <v>5</v>
      </c>
      <c r="AE21" s="57">
        <v>2</v>
      </c>
      <c r="AF21" s="104">
        <f t="shared" si="0"/>
        <v>0.4</v>
      </c>
      <c r="AG21" s="214" t="str">
        <f t="shared" si="1"/>
        <v>OK</v>
      </c>
      <c r="AH21" t="s">
        <v>8</v>
      </c>
      <c r="AI21">
        <v>1650476.4099999997</v>
      </c>
    </row>
    <row r="22" spans="1:35" x14ac:dyDescent="0.25">
      <c r="A22" s="17" t="s">
        <v>9</v>
      </c>
      <c r="B22" s="34">
        <v>1</v>
      </c>
      <c r="C22" s="34">
        <v>40</v>
      </c>
      <c r="D22" s="36">
        <v>105112.76</v>
      </c>
      <c r="E22" s="34">
        <v>1</v>
      </c>
      <c r="F22" s="34">
        <v>36</v>
      </c>
      <c r="G22" s="36">
        <v>119965.89</v>
      </c>
      <c r="H22" s="34">
        <v>1</v>
      </c>
      <c r="I22" s="34">
        <v>43</v>
      </c>
      <c r="J22" s="36">
        <v>1864854.75</v>
      </c>
      <c r="K22" s="34">
        <v>2</v>
      </c>
      <c r="L22" s="34">
        <v>49</v>
      </c>
      <c r="M22" s="36">
        <v>251803</v>
      </c>
      <c r="N22" s="34">
        <v>1</v>
      </c>
      <c r="O22" s="34">
        <v>40</v>
      </c>
      <c r="P22" s="36">
        <v>117730.08</v>
      </c>
      <c r="Q22" s="132">
        <v>1</v>
      </c>
      <c r="R22" s="132">
        <v>32</v>
      </c>
      <c r="S22" s="115">
        <v>46104.1</v>
      </c>
      <c r="T22" s="1"/>
      <c r="U22" s="34">
        <v>2</v>
      </c>
      <c r="V22" s="34">
        <v>2</v>
      </c>
      <c r="W22" s="27">
        <v>1</v>
      </c>
      <c r="X22" s="95">
        <v>4</v>
      </c>
      <c r="Y22" s="95">
        <v>3</v>
      </c>
      <c r="Z22" s="27">
        <v>0.75</v>
      </c>
      <c r="AA22" s="95">
        <v>4</v>
      </c>
      <c r="AB22" s="95">
        <v>3</v>
      </c>
      <c r="AC22" s="27">
        <v>0.75</v>
      </c>
      <c r="AD22" s="57">
        <v>3</v>
      </c>
      <c r="AE22" s="57">
        <v>2</v>
      </c>
      <c r="AF22" s="104">
        <f t="shared" si="0"/>
        <v>0.66666666666666663</v>
      </c>
      <c r="AG22" s="214" t="str">
        <f t="shared" si="1"/>
        <v>OK</v>
      </c>
      <c r="AH22" t="s">
        <v>9</v>
      </c>
      <c r="AI22">
        <v>46104.1</v>
      </c>
    </row>
    <row r="23" spans="1:35" x14ac:dyDescent="0.25">
      <c r="A23" s="17" t="s">
        <v>24</v>
      </c>
      <c r="B23" s="34">
        <v>61</v>
      </c>
      <c r="C23" s="34">
        <v>7261</v>
      </c>
      <c r="D23" s="36">
        <v>16353248.410000002</v>
      </c>
      <c r="E23" s="34">
        <v>59</v>
      </c>
      <c r="F23" s="34">
        <v>7327</v>
      </c>
      <c r="G23" s="36">
        <v>12554888.769999998</v>
      </c>
      <c r="H23" s="34">
        <v>64</v>
      </c>
      <c r="I23" s="34">
        <v>7115</v>
      </c>
      <c r="J23" s="36">
        <v>12182639.739999998</v>
      </c>
      <c r="K23" s="34">
        <v>110</v>
      </c>
      <c r="L23" s="34">
        <v>6985</v>
      </c>
      <c r="M23" s="36">
        <v>9360048.040000001</v>
      </c>
      <c r="N23" s="34">
        <v>61</v>
      </c>
      <c r="O23" s="34">
        <v>6896</v>
      </c>
      <c r="P23" s="36">
        <v>10540360.310000001</v>
      </c>
      <c r="Q23" s="132">
        <v>58</v>
      </c>
      <c r="R23" s="132">
        <v>6530</v>
      </c>
      <c r="S23" s="115">
        <v>11912661.59</v>
      </c>
      <c r="T23" s="1"/>
      <c r="U23" s="34">
        <v>87</v>
      </c>
      <c r="V23" s="34">
        <v>68</v>
      </c>
      <c r="W23" s="27">
        <v>0.7816091954022989</v>
      </c>
      <c r="X23" s="95">
        <v>87</v>
      </c>
      <c r="Y23" s="95">
        <v>56</v>
      </c>
      <c r="Z23" s="27">
        <v>0.64367816091954022</v>
      </c>
      <c r="AA23" s="95">
        <v>309</v>
      </c>
      <c r="AB23" s="95">
        <v>119</v>
      </c>
      <c r="AC23" s="27">
        <v>0.38511326860841422</v>
      </c>
      <c r="AD23" s="57">
        <v>137</v>
      </c>
      <c r="AE23" s="57">
        <v>64</v>
      </c>
      <c r="AF23" s="104">
        <f t="shared" si="0"/>
        <v>0.46715328467153283</v>
      </c>
      <c r="AG23" s="214" t="str">
        <f t="shared" si="1"/>
        <v>OK</v>
      </c>
      <c r="AH23" t="s">
        <v>24</v>
      </c>
      <c r="AI23">
        <v>11912661.59</v>
      </c>
    </row>
    <row r="24" spans="1:35" x14ac:dyDescent="0.25">
      <c r="A24" s="17" t="s">
        <v>25</v>
      </c>
      <c r="B24" s="34"/>
      <c r="C24" s="34"/>
      <c r="D24" s="36"/>
      <c r="E24" s="34">
        <v>1</v>
      </c>
      <c r="F24" s="34">
        <v>0</v>
      </c>
      <c r="G24" s="36">
        <v>0</v>
      </c>
      <c r="H24" s="34"/>
      <c r="I24" s="34"/>
      <c r="J24" s="36"/>
      <c r="K24" s="34"/>
      <c r="L24" s="34"/>
      <c r="M24" s="36"/>
      <c r="N24" s="34"/>
      <c r="O24" s="34"/>
      <c r="P24" s="36"/>
      <c r="Q24" s="132"/>
      <c r="R24" s="132"/>
      <c r="S24" s="115"/>
      <c r="T24" s="1"/>
      <c r="U24" s="34"/>
      <c r="V24" s="34"/>
      <c r="W24" s="27"/>
      <c r="X24" s="95"/>
      <c r="Y24" s="95"/>
      <c r="Z24" s="27"/>
      <c r="AA24" s="95">
        <v>3</v>
      </c>
      <c r="AB24" s="95">
        <v>0</v>
      </c>
      <c r="AC24" s="27">
        <v>0</v>
      </c>
      <c r="AD24" s="57"/>
      <c r="AE24" s="57"/>
      <c r="AF24" s="104" t="e">
        <f t="shared" si="0"/>
        <v>#DIV/0!</v>
      </c>
      <c r="AG24" s="214" t="str">
        <f t="shared" si="1"/>
        <v>N</v>
      </c>
    </row>
    <row r="25" spans="1:35" x14ac:dyDescent="0.25">
      <c r="A25" s="17" t="s">
        <v>34</v>
      </c>
      <c r="B25" s="34">
        <v>1</v>
      </c>
      <c r="C25" s="34">
        <v>140</v>
      </c>
      <c r="D25" s="36">
        <v>305287.09000000003</v>
      </c>
      <c r="E25" s="34">
        <v>1</v>
      </c>
      <c r="F25" s="34">
        <v>159</v>
      </c>
      <c r="G25" s="36">
        <v>290971.18</v>
      </c>
      <c r="H25" s="34">
        <v>1</v>
      </c>
      <c r="I25" s="34">
        <v>167</v>
      </c>
      <c r="J25" s="36">
        <v>275270.01</v>
      </c>
      <c r="K25" s="34">
        <v>2</v>
      </c>
      <c r="L25" s="34">
        <v>117</v>
      </c>
      <c r="M25" s="36">
        <v>253889.63</v>
      </c>
      <c r="N25" s="34">
        <v>1</v>
      </c>
      <c r="O25" s="34">
        <v>85</v>
      </c>
      <c r="P25" s="36">
        <v>198860.82</v>
      </c>
      <c r="Q25" s="132">
        <v>1</v>
      </c>
      <c r="R25" s="132">
        <v>82</v>
      </c>
      <c r="S25" s="115">
        <v>196152.23</v>
      </c>
      <c r="T25" s="1"/>
      <c r="U25" s="34">
        <v>1</v>
      </c>
      <c r="V25" s="34">
        <v>1</v>
      </c>
      <c r="W25" s="27">
        <v>1</v>
      </c>
      <c r="X25" s="95">
        <v>1</v>
      </c>
      <c r="Y25" s="95">
        <v>1</v>
      </c>
      <c r="Z25" s="27">
        <v>1</v>
      </c>
      <c r="AA25" s="95">
        <v>6</v>
      </c>
      <c r="AB25" s="95">
        <v>3</v>
      </c>
      <c r="AC25" s="27">
        <v>0.5</v>
      </c>
      <c r="AD25" s="57">
        <v>4</v>
      </c>
      <c r="AE25" s="57">
        <v>3</v>
      </c>
      <c r="AF25" s="104">
        <f t="shared" si="0"/>
        <v>0.75</v>
      </c>
      <c r="AG25" s="214" t="str">
        <f t="shared" si="1"/>
        <v>OK</v>
      </c>
      <c r="AH25" t="s">
        <v>34</v>
      </c>
      <c r="AI25">
        <v>196152.23</v>
      </c>
    </row>
    <row r="26" spans="1:35" x14ac:dyDescent="0.25">
      <c r="A26" s="17" t="s">
        <v>10</v>
      </c>
      <c r="B26" s="34">
        <v>6</v>
      </c>
      <c r="C26" s="34">
        <v>709</v>
      </c>
      <c r="D26" s="36">
        <v>902391.76</v>
      </c>
      <c r="E26" s="34">
        <v>6</v>
      </c>
      <c r="F26" s="34">
        <v>657</v>
      </c>
      <c r="G26" s="36">
        <v>808651.66</v>
      </c>
      <c r="H26" s="34">
        <v>7</v>
      </c>
      <c r="I26" s="34">
        <v>707</v>
      </c>
      <c r="J26" s="36">
        <v>896590.35</v>
      </c>
      <c r="K26" s="34">
        <v>10</v>
      </c>
      <c r="L26" s="34">
        <v>647</v>
      </c>
      <c r="M26" s="36">
        <v>742265.65</v>
      </c>
      <c r="N26" s="34">
        <v>4</v>
      </c>
      <c r="O26" s="34">
        <v>548</v>
      </c>
      <c r="P26" s="36">
        <v>742161.3600000001</v>
      </c>
      <c r="Q26" s="132">
        <v>5</v>
      </c>
      <c r="R26" s="132">
        <v>487</v>
      </c>
      <c r="S26" s="115">
        <v>448045.98</v>
      </c>
      <c r="T26" s="1"/>
      <c r="U26" s="34">
        <v>6</v>
      </c>
      <c r="V26" s="34">
        <v>6</v>
      </c>
      <c r="W26" s="27">
        <v>1</v>
      </c>
      <c r="X26" s="95">
        <v>9</v>
      </c>
      <c r="Y26" s="95">
        <v>6</v>
      </c>
      <c r="Z26" s="27">
        <v>0.66666666666666663</v>
      </c>
      <c r="AA26" s="95">
        <v>25</v>
      </c>
      <c r="AB26" s="95">
        <v>16</v>
      </c>
      <c r="AC26" s="27">
        <v>0.64</v>
      </c>
      <c r="AD26" s="57">
        <v>7</v>
      </c>
      <c r="AE26" s="57">
        <v>4</v>
      </c>
      <c r="AF26" s="104">
        <f t="shared" si="0"/>
        <v>0.5714285714285714</v>
      </c>
      <c r="AG26" s="214" t="str">
        <f t="shared" si="1"/>
        <v>N</v>
      </c>
      <c r="AH26" t="s">
        <v>377</v>
      </c>
      <c r="AI26">
        <v>448045.98</v>
      </c>
    </row>
    <row r="27" spans="1:35" x14ac:dyDescent="0.25">
      <c r="A27" s="17" t="s">
        <v>11</v>
      </c>
      <c r="B27" s="34">
        <v>13</v>
      </c>
      <c r="C27" s="34">
        <v>388</v>
      </c>
      <c r="D27" s="36">
        <v>5108904.8400000008</v>
      </c>
      <c r="E27" s="34">
        <v>3</v>
      </c>
      <c r="F27" s="34">
        <v>253</v>
      </c>
      <c r="G27" s="36">
        <v>4978986.88</v>
      </c>
      <c r="H27" s="34">
        <v>2</v>
      </c>
      <c r="I27" s="34">
        <v>261</v>
      </c>
      <c r="J27" s="36">
        <v>5432932.3499999996</v>
      </c>
      <c r="K27" s="34">
        <v>2</v>
      </c>
      <c r="L27" s="34">
        <v>289</v>
      </c>
      <c r="M27" s="36">
        <v>4167215.63</v>
      </c>
      <c r="N27" s="34">
        <v>1</v>
      </c>
      <c r="O27" s="34">
        <v>259</v>
      </c>
      <c r="P27" s="36">
        <v>1366075.42</v>
      </c>
      <c r="Q27" s="132">
        <v>2</v>
      </c>
      <c r="R27" s="132">
        <v>179</v>
      </c>
      <c r="S27" s="115">
        <v>1491201.76</v>
      </c>
      <c r="T27" s="1"/>
      <c r="U27" s="34">
        <v>6</v>
      </c>
      <c r="V27" s="34">
        <v>5</v>
      </c>
      <c r="W27" s="27">
        <v>0.83333333333333337</v>
      </c>
      <c r="X27" s="95">
        <v>4</v>
      </c>
      <c r="Y27" s="95">
        <v>4</v>
      </c>
      <c r="Z27" s="27">
        <v>1</v>
      </c>
      <c r="AA27" s="95">
        <v>30</v>
      </c>
      <c r="AB27" s="95">
        <v>8</v>
      </c>
      <c r="AC27" s="27">
        <v>0.26666666666666666</v>
      </c>
      <c r="AD27" s="57">
        <v>3</v>
      </c>
      <c r="AE27" s="57">
        <v>3</v>
      </c>
      <c r="AF27" s="104">
        <f t="shared" si="0"/>
        <v>1</v>
      </c>
      <c r="AG27" s="214" t="str">
        <f t="shared" si="1"/>
        <v>N</v>
      </c>
      <c r="AH27" t="s">
        <v>378</v>
      </c>
      <c r="AI27">
        <v>1491201.76</v>
      </c>
    </row>
    <row r="28" spans="1:35" x14ac:dyDescent="0.25">
      <c r="A28" s="17" t="s">
        <v>197</v>
      </c>
      <c r="B28" s="34">
        <v>2</v>
      </c>
      <c r="C28" s="34">
        <v>77</v>
      </c>
      <c r="D28" s="36">
        <v>522497.05</v>
      </c>
      <c r="E28" s="34">
        <v>2</v>
      </c>
      <c r="F28" s="34">
        <v>60</v>
      </c>
      <c r="G28" s="36">
        <v>337948.8</v>
      </c>
      <c r="H28" s="34">
        <v>2</v>
      </c>
      <c r="I28" s="34">
        <v>58</v>
      </c>
      <c r="J28" s="36">
        <v>437837.84</v>
      </c>
      <c r="K28" s="34">
        <v>4</v>
      </c>
      <c r="L28" s="34">
        <v>71</v>
      </c>
      <c r="M28" s="36">
        <v>362688.45999999996</v>
      </c>
      <c r="N28" s="34">
        <v>2</v>
      </c>
      <c r="O28" s="34">
        <v>68</v>
      </c>
      <c r="P28" s="36">
        <v>105216.9</v>
      </c>
      <c r="Q28" s="132">
        <v>2</v>
      </c>
      <c r="R28" s="132">
        <v>54</v>
      </c>
      <c r="S28" s="115">
        <v>95765.950000000012</v>
      </c>
      <c r="T28" s="1"/>
      <c r="U28" s="34">
        <v>4</v>
      </c>
      <c r="V28" s="34">
        <v>3</v>
      </c>
      <c r="W28" s="27">
        <v>0.75</v>
      </c>
      <c r="X28" s="95">
        <v>6</v>
      </c>
      <c r="Y28" s="95">
        <v>5</v>
      </c>
      <c r="Z28" s="27">
        <v>0.83333333333333337</v>
      </c>
      <c r="AA28" s="95">
        <v>4</v>
      </c>
      <c r="AB28" s="95">
        <v>4</v>
      </c>
      <c r="AC28" s="27">
        <v>1</v>
      </c>
      <c r="AD28" s="57">
        <v>4</v>
      </c>
      <c r="AE28" s="57">
        <v>4</v>
      </c>
      <c r="AF28" s="104">
        <f t="shared" si="0"/>
        <v>1</v>
      </c>
      <c r="AG28" s="214" t="str">
        <f t="shared" si="1"/>
        <v>OK</v>
      </c>
      <c r="AH28" t="s">
        <v>197</v>
      </c>
      <c r="AI28">
        <v>95765.950000000012</v>
      </c>
    </row>
    <row r="29" spans="1:35" x14ac:dyDescent="0.25">
      <c r="A29" s="17" t="s">
        <v>12</v>
      </c>
      <c r="B29" s="34">
        <v>7</v>
      </c>
      <c r="C29" s="34">
        <v>3875</v>
      </c>
      <c r="D29" s="36">
        <v>5315946.3499999996</v>
      </c>
      <c r="E29" s="34">
        <v>6</v>
      </c>
      <c r="F29" s="34">
        <v>3762</v>
      </c>
      <c r="G29" s="36">
        <v>4130191.0100000002</v>
      </c>
      <c r="H29" s="34">
        <v>6</v>
      </c>
      <c r="I29" s="34">
        <v>3527</v>
      </c>
      <c r="J29" s="36">
        <v>3904936.5999999996</v>
      </c>
      <c r="K29" s="34">
        <v>10</v>
      </c>
      <c r="L29" s="34">
        <v>3319</v>
      </c>
      <c r="M29" s="36">
        <v>3461715.26</v>
      </c>
      <c r="N29" s="34">
        <v>5</v>
      </c>
      <c r="O29" s="34">
        <v>3243</v>
      </c>
      <c r="P29" s="36">
        <v>2578208.56</v>
      </c>
      <c r="Q29" s="132">
        <v>5</v>
      </c>
      <c r="R29" s="132">
        <v>3061</v>
      </c>
      <c r="S29" s="115">
        <v>2608662.94</v>
      </c>
      <c r="T29" s="1"/>
      <c r="U29" s="34">
        <v>15</v>
      </c>
      <c r="V29" s="34">
        <v>11</v>
      </c>
      <c r="W29" s="27">
        <v>0.73333333333333328</v>
      </c>
      <c r="X29" s="95">
        <v>15</v>
      </c>
      <c r="Y29" s="95">
        <v>13</v>
      </c>
      <c r="Z29" s="27">
        <v>0.8666666666666667</v>
      </c>
      <c r="AA29" s="95">
        <v>36</v>
      </c>
      <c r="AB29" s="95">
        <v>27</v>
      </c>
      <c r="AC29" s="27">
        <v>0.75</v>
      </c>
      <c r="AD29" s="57">
        <v>30</v>
      </c>
      <c r="AE29" s="57">
        <v>27</v>
      </c>
      <c r="AF29" s="104">
        <f t="shared" si="0"/>
        <v>0.9</v>
      </c>
      <c r="AG29" s="214" t="str">
        <f t="shared" si="1"/>
        <v>OK</v>
      </c>
      <c r="AH29" t="s">
        <v>12</v>
      </c>
      <c r="AI29">
        <v>2608662.94</v>
      </c>
    </row>
    <row r="30" spans="1:35" x14ac:dyDescent="0.25">
      <c r="A30" s="17" t="s">
        <v>13</v>
      </c>
      <c r="B30" s="34">
        <v>3</v>
      </c>
      <c r="C30" s="34">
        <v>60</v>
      </c>
      <c r="D30" s="36">
        <v>263774.91000000003</v>
      </c>
      <c r="E30" s="34">
        <v>1</v>
      </c>
      <c r="F30" s="34">
        <v>47</v>
      </c>
      <c r="G30" s="36">
        <v>169571.68</v>
      </c>
      <c r="H30" s="34">
        <v>1</v>
      </c>
      <c r="I30" s="34">
        <v>64</v>
      </c>
      <c r="J30" s="36">
        <v>121684.12</v>
      </c>
      <c r="K30" s="34">
        <v>2</v>
      </c>
      <c r="L30" s="34">
        <v>36</v>
      </c>
      <c r="M30" s="36">
        <v>74157.66</v>
      </c>
      <c r="N30" s="34">
        <v>1</v>
      </c>
      <c r="O30" s="34">
        <v>45</v>
      </c>
      <c r="P30" s="36">
        <v>992640.02</v>
      </c>
      <c r="Q30" s="132">
        <v>1</v>
      </c>
      <c r="R30" s="132">
        <v>49</v>
      </c>
      <c r="S30" s="115">
        <v>1020136.83</v>
      </c>
      <c r="T30" s="1"/>
      <c r="U30" s="34">
        <v>5</v>
      </c>
      <c r="V30" s="34">
        <v>4</v>
      </c>
      <c r="W30" s="27">
        <v>0.8</v>
      </c>
      <c r="X30" s="95">
        <v>3</v>
      </c>
      <c r="Y30" s="95">
        <v>2</v>
      </c>
      <c r="Z30" s="27">
        <v>0.66666666666666663</v>
      </c>
      <c r="AA30" s="95">
        <v>10</v>
      </c>
      <c r="AB30" s="95">
        <v>3</v>
      </c>
      <c r="AC30" s="27">
        <v>0.3</v>
      </c>
      <c r="AD30" s="57">
        <v>4</v>
      </c>
      <c r="AE30" s="57">
        <v>3</v>
      </c>
      <c r="AF30" s="104">
        <f t="shared" si="0"/>
        <v>0.75</v>
      </c>
      <c r="AG30" s="214" t="str">
        <f t="shared" si="1"/>
        <v>OK</v>
      </c>
      <c r="AH30" t="s">
        <v>13</v>
      </c>
      <c r="AI30">
        <v>1020136.83</v>
      </c>
    </row>
    <row r="31" spans="1:35" x14ac:dyDescent="0.25">
      <c r="A31" s="17" t="s">
        <v>14</v>
      </c>
      <c r="B31" s="34">
        <v>1</v>
      </c>
      <c r="C31" s="34">
        <v>69</v>
      </c>
      <c r="D31" s="36">
        <v>59407.94</v>
      </c>
      <c r="E31" s="34">
        <v>1</v>
      </c>
      <c r="F31" s="34">
        <v>42</v>
      </c>
      <c r="G31" s="36">
        <v>27629.38</v>
      </c>
      <c r="H31" s="34">
        <v>1</v>
      </c>
      <c r="I31" s="34">
        <v>57</v>
      </c>
      <c r="J31" s="36">
        <v>58056.78</v>
      </c>
      <c r="K31" s="34">
        <v>2</v>
      </c>
      <c r="L31" s="34">
        <v>41</v>
      </c>
      <c r="M31" s="36">
        <v>31477.05</v>
      </c>
      <c r="N31" s="34">
        <v>1</v>
      </c>
      <c r="O31" s="34">
        <v>39</v>
      </c>
      <c r="P31" s="36">
        <v>15483.57</v>
      </c>
      <c r="Q31" s="132">
        <v>1</v>
      </c>
      <c r="R31" s="132">
        <v>36</v>
      </c>
      <c r="S31" s="115">
        <v>15830.42</v>
      </c>
      <c r="T31" s="1"/>
      <c r="U31" s="34">
        <v>2</v>
      </c>
      <c r="V31" s="34">
        <v>2</v>
      </c>
      <c r="W31" s="27">
        <v>1</v>
      </c>
      <c r="X31" s="95">
        <v>1</v>
      </c>
      <c r="Y31" s="95">
        <v>1</v>
      </c>
      <c r="Z31" s="27">
        <v>1</v>
      </c>
      <c r="AA31" s="95">
        <v>5</v>
      </c>
      <c r="AB31" s="95">
        <v>4</v>
      </c>
      <c r="AC31" s="27">
        <v>0.8</v>
      </c>
      <c r="AD31" s="57">
        <v>4</v>
      </c>
      <c r="AE31" s="57">
        <v>4</v>
      </c>
      <c r="AF31" s="104">
        <f t="shared" si="0"/>
        <v>1</v>
      </c>
      <c r="AG31" s="214" t="str">
        <f t="shared" si="1"/>
        <v>OK</v>
      </c>
      <c r="AH31" t="s">
        <v>14</v>
      </c>
      <c r="AI31">
        <v>15830.42</v>
      </c>
    </row>
    <row r="32" spans="1:35" x14ac:dyDescent="0.25">
      <c r="A32" s="17" t="s">
        <v>15</v>
      </c>
      <c r="B32" s="34">
        <v>3</v>
      </c>
      <c r="C32" s="34">
        <v>104</v>
      </c>
      <c r="D32" s="36">
        <v>116543.06999999999</v>
      </c>
      <c r="E32" s="34">
        <v>3</v>
      </c>
      <c r="F32" s="34">
        <v>91</v>
      </c>
      <c r="G32" s="36">
        <v>98193.03</v>
      </c>
      <c r="H32" s="34">
        <v>3</v>
      </c>
      <c r="I32" s="34">
        <v>86</v>
      </c>
      <c r="J32" s="36">
        <v>344748.12</v>
      </c>
      <c r="K32" s="34">
        <v>2</v>
      </c>
      <c r="L32" s="34">
        <v>59</v>
      </c>
      <c r="M32" s="36">
        <v>153391.49</v>
      </c>
      <c r="N32" s="34">
        <v>2</v>
      </c>
      <c r="O32" s="34">
        <v>40</v>
      </c>
      <c r="P32" s="36">
        <v>122520.62999999999</v>
      </c>
      <c r="Q32" s="132">
        <v>1</v>
      </c>
      <c r="R32" s="132">
        <v>48</v>
      </c>
      <c r="S32" s="115">
        <v>133697.62</v>
      </c>
      <c r="T32" s="1"/>
      <c r="U32" s="34">
        <v>6</v>
      </c>
      <c r="V32" s="34">
        <v>6</v>
      </c>
      <c r="W32" s="27">
        <v>1</v>
      </c>
      <c r="X32" s="95">
        <v>1</v>
      </c>
      <c r="Y32" s="95">
        <v>1</v>
      </c>
      <c r="Z32" s="27">
        <v>1</v>
      </c>
      <c r="AA32" s="95">
        <v>8</v>
      </c>
      <c r="AB32" s="95">
        <v>4</v>
      </c>
      <c r="AC32" s="27">
        <v>0.5</v>
      </c>
      <c r="AD32" s="57">
        <v>3</v>
      </c>
      <c r="AE32" s="57">
        <v>2</v>
      </c>
      <c r="AF32" s="104">
        <f t="shared" si="0"/>
        <v>0.66666666666666663</v>
      </c>
      <c r="AG32" s="214" t="str">
        <f t="shared" si="1"/>
        <v>OK</v>
      </c>
      <c r="AH32" t="s">
        <v>15</v>
      </c>
      <c r="AI32">
        <v>133697.62</v>
      </c>
    </row>
    <row r="33" spans="1:35" x14ac:dyDescent="0.25">
      <c r="A33" s="17" t="s">
        <v>16</v>
      </c>
      <c r="B33" s="34">
        <v>7</v>
      </c>
      <c r="C33" s="34">
        <v>368</v>
      </c>
      <c r="D33" s="36">
        <v>576601.69999999995</v>
      </c>
      <c r="E33" s="34">
        <v>8</v>
      </c>
      <c r="F33" s="34">
        <v>413</v>
      </c>
      <c r="G33" s="36">
        <v>564616.44999999995</v>
      </c>
      <c r="H33" s="34">
        <v>8</v>
      </c>
      <c r="I33" s="34">
        <v>326</v>
      </c>
      <c r="J33" s="36">
        <v>795904.88000000012</v>
      </c>
      <c r="K33" s="34">
        <v>10</v>
      </c>
      <c r="L33" s="34">
        <v>323</v>
      </c>
      <c r="M33" s="36">
        <v>538069.6</v>
      </c>
      <c r="N33" s="34">
        <v>5</v>
      </c>
      <c r="O33" s="34">
        <v>314</v>
      </c>
      <c r="P33" s="36">
        <v>415499.42000000004</v>
      </c>
      <c r="Q33" s="132">
        <v>5</v>
      </c>
      <c r="R33" s="132">
        <v>323</v>
      </c>
      <c r="S33" s="115">
        <v>385529.25</v>
      </c>
      <c r="T33" s="1"/>
      <c r="U33" s="34">
        <v>9</v>
      </c>
      <c r="V33" s="34">
        <v>8</v>
      </c>
      <c r="W33" s="27">
        <v>0.88888888888888884</v>
      </c>
      <c r="X33" s="95">
        <v>9</v>
      </c>
      <c r="Y33" s="95">
        <v>6</v>
      </c>
      <c r="Z33" s="27">
        <v>0.66666666666666663</v>
      </c>
      <c r="AA33" s="95">
        <v>9</v>
      </c>
      <c r="AB33" s="95">
        <v>4</v>
      </c>
      <c r="AC33" s="27">
        <v>0.44444444444444442</v>
      </c>
      <c r="AD33" s="57">
        <v>7</v>
      </c>
      <c r="AE33" s="57">
        <v>5</v>
      </c>
      <c r="AF33" s="104">
        <f t="shared" si="0"/>
        <v>0.7142857142857143</v>
      </c>
      <c r="AG33" s="214" t="str">
        <f t="shared" si="1"/>
        <v>N</v>
      </c>
      <c r="AH33" t="s">
        <v>379</v>
      </c>
      <c r="AI33">
        <v>385529.25</v>
      </c>
    </row>
    <row r="34" spans="1:35" x14ac:dyDescent="0.25">
      <c r="A34" s="17" t="s">
        <v>17</v>
      </c>
      <c r="B34" s="34">
        <v>1</v>
      </c>
      <c r="C34" s="34">
        <v>142</v>
      </c>
      <c r="D34" s="36">
        <v>257435.8</v>
      </c>
      <c r="E34" s="34">
        <v>1</v>
      </c>
      <c r="F34" s="34">
        <v>95</v>
      </c>
      <c r="G34" s="36">
        <v>272614.12</v>
      </c>
      <c r="H34" s="34">
        <v>1</v>
      </c>
      <c r="I34" s="34">
        <v>86</v>
      </c>
      <c r="J34" s="36">
        <v>1167328.8700000001</v>
      </c>
      <c r="K34" s="34">
        <v>2</v>
      </c>
      <c r="L34" s="34">
        <v>87</v>
      </c>
      <c r="M34" s="36">
        <v>122355.78</v>
      </c>
      <c r="N34" s="34">
        <v>1</v>
      </c>
      <c r="O34" s="34">
        <v>99</v>
      </c>
      <c r="P34" s="36">
        <v>33456.17</v>
      </c>
      <c r="Q34" s="132">
        <v>1</v>
      </c>
      <c r="R34" s="132">
        <v>122</v>
      </c>
      <c r="S34" s="115">
        <v>80450.89</v>
      </c>
      <c r="T34" s="1"/>
      <c r="U34" s="34">
        <v>2</v>
      </c>
      <c r="V34" s="34">
        <v>2</v>
      </c>
      <c r="W34" s="27">
        <v>1</v>
      </c>
      <c r="X34" s="95">
        <v>2</v>
      </c>
      <c r="Y34" s="95">
        <v>2</v>
      </c>
      <c r="Z34" s="27">
        <v>1</v>
      </c>
      <c r="AA34" s="95">
        <v>9</v>
      </c>
      <c r="AB34" s="95">
        <v>5</v>
      </c>
      <c r="AC34" s="27">
        <v>0.55555555555555558</v>
      </c>
      <c r="AD34" s="57">
        <v>3</v>
      </c>
      <c r="AE34" s="57">
        <v>3</v>
      </c>
      <c r="AF34" s="104">
        <f t="shared" si="0"/>
        <v>1</v>
      </c>
      <c r="AG34" s="214" t="str">
        <f t="shared" si="1"/>
        <v>OK</v>
      </c>
      <c r="AH34" t="s">
        <v>17</v>
      </c>
      <c r="AI34">
        <v>80450.89</v>
      </c>
    </row>
    <row r="35" spans="1:35" x14ac:dyDescent="0.25">
      <c r="A35" s="17" t="s">
        <v>18</v>
      </c>
      <c r="B35" s="34">
        <v>6</v>
      </c>
      <c r="C35" s="34">
        <v>157</v>
      </c>
      <c r="D35" s="36">
        <v>581410.3899999999</v>
      </c>
      <c r="E35" s="34">
        <v>6</v>
      </c>
      <c r="F35" s="34">
        <v>112</v>
      </c>
      <c r="G35" s="36">
        <v>484781.10000000003</v>
      </c>
      <c r="H35" s="34">
        <v>7</v>
      </c>
      <c r="I35" s="34">
        <v>154</v>
      </c>
      <c r="J35" s="36">
        <v>504346.55</v>
      </c>
      <c r="K35" s="34">
        <v>11</v>
      </c>
      <c r="L35" s="34">
        <v>113</v>
      </c>
      <c r="M35" s="36">
        <v>1430488.59</v>
      </c>
      <c r="N35" s="34">
        <v>6</v>
      </c>
      <c r="O35" s="34">
        <v>130</v>
      </c>
      <c r="P35" s="36">
        <v>1595797.3599999999</v>
      </c>
      <c r="Q35" s="132">
        <v>6</v>
      </c>
      <c r="R35" s="132">
        <v>115</v>
      </c>
      <c r="S35" s="115">
        <v>666622.60000000009</v>
      </c>
      <c r="T35" s="1"/>
      <c r="U35" s="34">
        <v>8</v>
      </c>
      <c r="V35" s="34">
        <v>7</v>
      </c>
      <c r="W35" s="27">
        <v>0.875</v>
      </c>
      <c r="X35" s="95">
        <v>9</v>
      </c>
      <c r="Y35" s="95">
        <v>8</v>
      </c>
      <c r="Z35" s="27">
        <v>0.88888888888888884</v>
      </c>
      <c r="AA35" s="95">
        <v>14</v>
      </c>
      <c r="AB35" s="95">
        <v>5</v>
      </c>
      <c r="AC35" s="27">
        <v>0.35714285714285715</v>
      </c>
      <c r="AD35" s="57">
        <v>7</v>
      </c>
      <c r="AE35" s="57">
        <v>4</v>
      </c>
      <c r="AF35" s="104">
        <f t="shared" si="0"/>
        <v>0.5714285714285714</v>
      </c>
      <c r="AG35" s="214" t="str">
        <f t="shared" si="1"/>
        <v>OK</v>
      </c>
      <c r="AH35" t="s">
        <v>18</v>
      </c>
      <c r="AI35">
        <v>666622.60000000009</v>
      </c>
    </row>
    <row r="36" spans="1:35" x14ac:dyDescent="0.25">
      <c r="A36" s="17" t="s">
        <v>19</v>
      </c>
      <c r="B36" s="34">
        <v>2</v>
      </c>
      <c r="C36" s="34">
        <v>133</v>
      </c>
      <c r="D36" s="36">
        <v>490562.35</v>
      </c>
      <c r="E36" s="34">
        <v>2</v>
      </c>
      <c r="F36" s="34">
        <v>114</v>
      </c>
      <c r="G36" s="36">
        <v>171108.87</v>
      </c>
      <c r="H36" s="34">
        <v>2</v>
      </c>
      <c r="I36" s="34">
        <v>108</v>
      </c>
      <c r="J36" s="36">
        <v>236796.77</v>
      </c>
      <c r="K36" s="34">
        <v>4</v>
      </c>
      <c r="L36" s="34">
        <v>74</v>
      </c>
      <c r="M36" s="36">
        <v>134849.18</v>
      </c>
      <c r="N36" s="34">
        <v>3</v>
      </c>
      <c r="O36" s="34">
        <v>70</v>
      </c>
      <c r="P36" s="36">
        <v>193638.13</v>
      </c>
      <c r="Q36" s="132">
        <v>2</v>
      </c>
      <c r="R36" s="132">
        <v>79</v>
      </c>
      <c r="S36" s="115">
        <v>303293.77</v>
      </c>
      <c r="T36" s="1"/>
      <c r="U36" s="34">
        <v>6</v>
      </c>
      <c r="V36" s="34">
        <v>5</v>
      </c>
      <c r="W36" s="27">
        <v>0.83333333333333337</v>
      </c>
      <c r="X36" s="95">
        <v>5</v>
      </c>
      <c r="Y36" s="95">
        <v>5</v>
      </c>
      <c r="Z36" s="27">
        <v>1</v>
      </c>
      <c r="AA36" s="95">
        <v>7</v>
      </c>
      <c r="AB36" s="95">
        <v>3</v>
      </c>
      <c r="AC36" s="27">
        <v>0.42857142857142855</v>
      </c>
      <c r="AD36" s="57">
        <v>5</v>
      </c>
      <c r="AE36" s="57">
        <v>3</v>
      </c>
      <c r="AF36" s="104">
        <f t="shared" si="0"/>
        <v>0.6</v>
      </c>
      <c r="AG36" s="214" t="str">
        <f t="shared" si="1"/>
        <v>OK</v>
      </c>
      <c r="AH36" t="s">
        <v>19</v>
      </c>
      <c r="AI36">
        <v>303293.77</v>
      </c>
    </row>
    <row r="37" spans="1:35" x14ac:dyDescent="0.25">
      <c r="A37" s="17" t="s">
        <v>31</v>
      </c>
      <c r="B37" s="34">
        <v>2</v>
      </c>
      <c r="C37" s="34">
        <v>214</v>
      </c>
      <c r="D37" s="36">
        <v>16629524.92</v>
      </c>
      <c r="E37" s="34">
        <v>2</v>
      </c>
      <c r="F37" s="34">
        <v>206</v>
      </c>
      <c r="G37" s="36">
        <v>7286396.3899999997</v>
      </c>
      <c r="H37" s="34">
        <v>2</v>
      </c>
      <c r="I37" s="34">
        <v>248</v>
      </c>
      <c r="J37" s="36">
        <v>6229865.9199999999</v>
      </c>
      <c r="K37" s="34">
        <v>1</v>
      </c>
      <c r="L37" s="34">
        <v>207</v>
      </c>
      <c r="M37" s="36">
        <v>7537085.1100000003</v>
      </c>
      <c r="N37" s="34">
        <v>1</v>
      </c>
      <c r="O37" s="34">
        <v>288</v>
      </c>
      <c r="P37" s="36">
        <v>7864998.0499999998</v>
      </c>
      <c r="Q37" s="132">
        <v>1</v>
      </c>
      <c r="R37" s="132">
        <v>317</v>
      </c>
      <c r="S37" s="115">
        <v>7908519.46</v>
      </c>
      <c r="T37" s="1"/>
      <c r="U37" s="34">
        <v>3</v>
      </c>
      <c r="V37" s="34">
        <v>3</v>
      </c>
      <c r="W37" s="27">
        <v>1</v>
      </c>
      <c r="X37" s="95">
        <v>4</v>
      </c>
      <c r="Y37" s="95">
        <v>4</v>
      </c>
      <c r="Z37" s="27">
        <v>1</v>
      </c>
      <c r="AA37" s="95">
        <v>6</v>
      </c>
      <c r="AB37" s="95">
        <v>5</v>
      </c>
      <c r="AC37" s="27">
        <v>0.83333333333333337</v>
      </c>
      <c r="AD37" s="57">
        <v>4</v>
      </c>
      <c r="AE37" s="57">
        <v>4</v>
      </c>
      <c r="AF37" s="104">
        <f t="shared" si="0"/>
        <v>1</v>
      </c>
      <c r="AG37" s="214" t="str">
        <f t="shared" si="1"/>
        <v>N</v>
      </c>
      <c r="AH37" t="s">
        <v>380</v>
      </c>
      <c r="AI37">
        <v>7908519.46</v>
      </c>
    </row>
    <row r="38" spans="1:35" x14ac:dyDescent="0.25">
      <c r="A38" s="17" t="s">
        <v>20</v>
      </c>
      <c r="B38" s="34">
        <v>1</v>
      </c>
      <c r="C38" s="34">
        <v>38</v>
      </c>
      <c r="D38" s="36">
        <v>227303.06</v>
      </c>
      <c r="E38" s="34">
        <v>1</v>
      </c>
      <c r="F38" s="34">
        <v>26</v>
      </c>
      <c r="G38" s="36">
        <v>188473.58</v>
      </c>
      <c r="H38" s="34">
        <v>1</v>
      </c>
      <c r="I38" s="34">
        <v>24</v>
      </c>
      <c r="J38" s="36">
        <v>125281.9</v>
      </c>
      <c r="K38" s="34">
        <v>2</v>
      </c>
      <c r="L38" s="34">
        <v>13</v>
      </c>
      <c r="M38" s="36">
        <v>141910.31</v>
      </c>
      <c r="N38" s="34">
        <v>1</v>
      </c>
      <c r="O38" s="34">
        <v>17</v>
      </c>
      <c r="P38" s="36">
        <v>92807.37</v>
      </c>
      <c r="Q38" s="132">
        <v>1</v>
      </c>
      <c r="R38" s="132">
        <v>26</v>
      </c>
      <c r="S38" s="115">
        <v>85496.92</v>
      </c>
      <c r="T38" s="1"/>
      <c r="U38" s="34">
        <v>2</v>
      </c>
      <c r="V38" s="34">
        <v>1</v>
      </c>
      <c r="W38" s="27">
        <v>0.5</v>
      </c>
      <c r="X38" s="95">
        <v>3</v>
      </c>
      <c r="Y38" s="95">
        <v>2</v>
      </c>
      <c r="Z38" s="27">
        <v>0.66666666666666663</v>
      </c>
      <c r="AA38" s="95">
        <v>4</v>
      </c>
      <c r="AB38" s="95">
        <v>2</v>
      </c>
      <c r="AC38" s="27">
        <v>0.5</v>
      </c>
      <c r="AD38" s="57">
        <v>3</v>
      </c>
      <c r="AE38" s="57">
        <v>1</v>
      </c>
      <c r="AF38" s="104">
        <f t="shared" si="0"/>
        <v>0.33333333333333331</v>
      </c>
      <c r="AG38" s="214" t="str">
        <f t="shared" si="1"/>
        <v>OK</v>
      </c>
      <c r="AH38" t="s">
        <v>20</v>
      </c>
      <c r="AI38">
        <v>85496.92</v>
      </c>
    </row>
    <row r="39" spans="1:35" x14ac:dyDescent="0.25">
      <c r="A39" s="17" t="s">
        <v>27</v>
      </c>
      <c r="B39" s="34"/>
      <c r="C39" s="34"/>
      <c r="D39" s="36"/>
      <c r="E39" s="34"/>
      <c r="F39" s="34"/>
      <c r="G39" s="36"/>
      <c r="H39" s="34"/>
      <c r="I39" s="34"/>
      <c r="J39" s="36"/>
      <c r="K39" s="34"/>
      <c r="L39" s="34"/>
      <c r="M39" s="36"/>
      <c r="N39" s="34"/>
      <c r="O39" s="34"/>
      <c r="P39" s="36"/>
      <c r="Q39" s="132"/>
      <c r="R39" s="132"/>
      <c r="S39" s="115"/>
      <c r="T39" s="1"/>
      <c r="U39" s="34"/>
      <c r="V39" s="34"/>
      <c r="W39" s="27"/>
      <c r="X39" s="95"/>
      <c r="Y39" s="95"/>
      <c r="Z39" s="27"/>
      <c r="AA39" s="95"/>
      <c r="AB39" s="95"/>
      <c r="AC39" s="27"/>
      <c r="AD39" s="57"/>
      <c r="AE39" s="57"/>
      <c r="AF39" s="104"/>
      <c r="AG39" s="214" t="str">
        <f t="shared" si="1"/>
        <v>N</v>
      </c>
    </row>
    <row r="40" spans="1:35" x14ac:dyDescent="0.25">
      <c r="A40" s="17" t="s">
        <v>32</v>
      </c>
      <c r="B40" s="34">
        <v>11</v>
      </c>
      <c r="C40" s="34">
        <v>178</v>
      </c>
      <c r="D40" s="36">
        <v>1276134.48</v>
      </c>
      <c r="E40" s="34">
        <v>14</v>
      </c>
      <c r="F40" s="34">
        <v>243</v>
      </c>
      <c r="G40" s="36">
        <v>718745.26</v>
      </c>
      <c r="H40" s="34">
        <v>12</v>
      </c>
      <c r="I40" s="34">
        <v>280</v>
      </c>
      <c r="J40" s="36">
        <v>680723.61</v>
      </c>
      <c r="K40" s="34">
        <v>17</v>
      </c>
      <c r="L40" s="34">
        <v>301</v>
      </c>
      <c r="M40" s="36">
        <v>961955.19000000006</v>
      </c>
      <c r="N40" s="34">
        <v>13</v>
      </c>
      <c r="O40" s="34">
        <v>265</v>
      </c>
      <c r="P40" s="36">
        <v>1883747.94</v>
      </c>
      <c r="Q40" s="132">
        <v>11</v>
      </c>
      <c r="R40" s="132">
        <v>189</v>
      </c>
      <c r="S40" s="115">
        <v>658805.6</v>
      </c>
      <c r="T40" s="1"/>
      <c r="U40" s="34">
        <v>14</v>
      </c>
      <c r="V40" s="34">
        <v>10</v>
      </c>
      <c r="W40" s="27">
        <v>0.7142857142857143</v>
      </c>
      <c r="X40" s="95">
        <v>13</v>
      </c>
      <c r="Y40" s="95">
        <v>9</v>
      </c>
      <c r="Z40" s="27">
        <v>0.69230769230769229</v>
      </c>
      <c r="AA40" s="95">
        <v>32</v>
      </c>
      <c r="AB40" s="95">
        <v>12</v>
      </c>
      <c r="AC40" s="27">
        <v>0.375</v>
      </c>
      <c r="AD40" s="57">
        <v>22</v>
      </c>
      <c r="AE40" s="57">
        <v>10</v>
      </c>
      <c r="AF40" s="104">
        <f t="shared" si="0"/>
        <v>0.45454545454545453</v>
      </c>
      <c r="AG40" s="214" t="str">
        <f t="shared" si="1"/>
        <v>OK</v>
      </c>
      <c r="AH40" t="s">
        <v>32</v>
      </c>
      <c r="AI40">
        <v>658805.6</v>
      </c>
    </row>
    <row r="41" spans="1:35" x14ac:dyDescent="0.25">
      <c r="A41" s="17" t="s">
        <v>21</v>
      </c>
      <c r="B41" s="34">
        <v>8</v>
      </c>
      <c r="C41" s="34">
        <v>386</v>
      </c>
      <c r="D41" s="36">
        <v>4941625.38</v>
      </c>
      <c r="E41" s="34">
        <v>5</v>
      </c>
      <c r="F41" s="34">
        <v>381</v>
      </c>
      <c r="G41" s="36">
        <v>3368221.6799999997</v>
      </c>
      <c r="H41" s="34">
        <v>4</v>
      </c>
      <c r="I41" s="34">
        <v>267</v>
      </c>
      <c r="J41" s="36">
        <v>3371615.4</v>
      </c>
      <c r="K41" s="34">
        <v>8</v>
      </c>
      <c r="L41" s="34">
        <v>134</v>
      </c>
      <c r="M41" s="36">
        <v>2967759.26</v>
      </c>
      <c r="N41" s="34">
        <v>7</v>
      </c>
      <c r="O41" s="34">
        <v>165</v>
      </c>
      <c r="P41" s="36">
        <v>2854471.6</v>
      </c>
      <c r="Q41" s="132">
        <v>4</v>
      </c>
      <c r="R41" s="132">
        <v>142</v>
      </c>
      <c r="S41" s="115">
        <v>2228100.2000000002</v>
      </c>
      <c r="T41" s="1"/>
      <c r="U41" s="34">
        <v>12</v>
      </c>
      <c r="V41" s="34">
        <v>8</v>
      </c>
      <c r="W41" s="27">
        <v>0.66666666666666663</v>
      </c>
      <c r="X41" s="95">
        <v>7</v>
      </c>
      <c r="Y41" s="95">
        <v>5</v>
      </c>
      <c r="Z41" s="27">
        <v>0.7142857142857143</v>
      </c>
      <c r="AA41" s="95">
        <v>16</v>
      </c>
      <c r="AB41" s="95">
        <v>9</v>
      </c>
      <c r="AC41" s="27">
        <v>0.5625</v>
      </c>
      <c r="AD41" s="57">
        <v>7</v>
      </c>
      <c r="AE41" s="57">
        <v>6</v>
      </c>
      <c r="AF41" s="104">
        <f t="shared" si="0"/>
        <v>0.8571428571428571</v>
      </c>
      <c r="AG41" s="214" t="str">
        <f t="shared" si="1"/>
        <v>OK</v>
      </c>
      <c r="AH41" t="s">
        <v>21</v>
      </c>
      <c r="AI41">
        <v>2228100.2000000002</v>
      </c>
    </row>
    <row r="42" spans="1:35" x14ac:dyDescent="0.25">
      <c r="A42" s="17" t="s">
        <v>43</v>
      </c>
      <c r="B42" s="34">
        <v>1</v>
      </c>
      <c r="C42" s="34">
        <v>495</v>
      </c>
      <c r="D42" s="36">
        <v>22793294.68</v>
      </c>
      <c r="E42" s="34">
        <v>2</v>
      </c>
      <c r="F42" s="34">
        <v>753</v>
      </c>
      <c r="G42" s="36">
        <v>23526143.560000002</v>
      </c>
      <c r="H42" s="34">
        <v>1</v>
      </c>
      <c r="I42" s="34">
        <v>964</v>
      </c>
      <c r="J42" s="36">
        <v>24418075.84</v>
      </c>
      <c r="K42" s="34">
        <v>1</v>
      </c>
      <c r="L42" s="34">
        <v>930</v>
      </c>
      <c r="M42" s="36">
        <v>22945554.609999999</v>
      </c>
      <c r="N42" s="34">
        <v>1</v>
      </c>
      <c r="O42" s="34">
        <v>933</v>
      </c>
      <c r="P42" s="36">
        <v>23416183.620000001</v>
      </c>
      <c r="Q42" s="132">
        <v>1</v>
      </c>
      <c r="R42" s="132">
        <v>951</v>
      </c>
      <c r="S42" s="115">
        <v>22099019.32</v>
      </c>
      <c r="T42" s="1"/>
      <c r="U42" s="34">
        <v>2</v>
      </c>
      <c r="V42" s="34">
        <v>2</v>
      </c>
      <c r="W42" s="27">
        <v>1</v>
      </c>
      <c r="X42" s="95">
        <v>1</v>
      </c>
      <c r="Y42" s="95">
        <v>1</v>
      </c>
      <c r="Z42" s="27">
        <v>1</v>
      </c>
      <c r="AA42" s="95">
        <v>6</v>
      </c>
      <c r="AB42" s="95">
        <v>5</v>
      </c>
      <c r="AC42" s="27">
        <v>0.83333333333333337</v>
      </c>
      <c r="AD42" s="57">
        <v>4</v>
      </c>
      <c r="AE42" s="57">
        <v>4</v>
      </c>
      <c r="AF42" s="104">
        <f t="shared" si="0"/>
        <v>1</v>
      </c>
      <c r="AG42" s="214" t="str">
        <f t="shared" si="1"/>
        <v>OK</v>
      </c>
      <c r="AH42" t="s">
        <v>43</v>
      </c>
      <c r="AI42">
        <v>22099019.32</v>
      </c>
    </row>
    <row r="43" spans="1:35" x14ac:dyDescent="0.25">
      <c r="A43" s="17" t="s">
        <v>44</v>
      </c>
      <c r="B43" s="34">
        <v>1</v>
      </c>
      <c r="C43" s="34">
        <v>299</v>
      </c>
      <c r="D43" s="36">
        <v>27210735.48</v>
      </c>
      <c r="E43" s="34">
        <v>2</v>
      </c>
      <c r="F43" s="34">
        <v>390</v>
      </c>
      <c r="G43" s="36">
        <v>27681756.620000001</v>
      </c>
      <c r="H43" s="34">
        <v>1</v>
      </c>
      <c r="I43" s="34">
        <v>995</v>
      </c>
      <c r="J43" s="36">
        <v>26297138.219999999</v>
      </c>
      <c r="K43" s="34">
        <v>1</v>
      </c>
      <c r="L43" s="34">
        <v>942</v>
      </c>
      <c r="M43" s="36">
        <v>21133618.050000001</v>
      </c>
      <c r="N43" s="34">
        <v>1</v>
      </c>
      <c r="O43" s="34">
        <v>916</v>
      </c>
      <c r="P43" s="36">
        <v>19231144.620000001</v>
      </c>
      <c r="Q43" s="132">
        <v>1</v>
      </c>
      <c r="R43" s="132">
        <v>854</v>
      </c>
      <c r="S43" s="115">
        <v>16388219.119999999</v>
      </c>
      <c r="T43" s="1"/>
      <c r="U43" s="34">
        <v>1</v>
      </c>
      <c r="V43" s="34">
        <v>1</v>
      </c>
      <c r="W43" s="27">
        <v>1</v>
      </c>
      <c r="X43" s="95">
        <v>1</v>
      </c>
      <c r="Y43" s="95">
        <v>1</v>
      </c>
      <c r="Z43" s="27">
        <v>1</v>
      </c>
      <c r="AA43" s="95">
        <v>7</v>
      </c>
      <c r="AB43" s="95">
        <v>5</v>
      </c>
      <c r="AC43" s="27">
        <v>0.7142857142857143</v>
      </c>
      <c r="AD43" s="57">
        <v>5</v>
      </c>
      <c r="AE43" s="57">
        <v>4</v>
      </c>
      <c r="AF43" s="104">
        <f t="shared" si="0"/>
        <v>0.8</v>
      </c>
      <c r="AG43" s="214" t="str">
        <f t="shared" si="1"/>
        <v>OK</v>
      </c>
      <c r="AH43" t="s">
        <v>44</v>
      </c>
      <c r="AI43">
        <v>16388219.119999999</v>
      </c>
    </row>
    <row r="44" spans="1:35" x14ac:dyDescent="0.25">
      <c r="A44" s="17" t="s">
        <v>35</v>
      </c>
      <c r="B44" s="34"/>
      <c r="C44" s="34"/>
      <c r="D44" s="36"/>
      <c r="E44" s="34"/>
      <c r="F44" s="34"/>
      <c r="G44" s="36"/>
      <c r="H44" s="34">
        <v>1</v>
      </c>
      <c r="I44" s="34">
        <v>4</v>
      </c>
      <c r="J44" s="36">
        <v>964699.34</v>
      </c>
      <c r="K44" s="34">
        <v>1</v>
      </c>
      <c r="L44" s="34">
        <v>22</v>
      </c>
      <c r="M44" s="36">
        <v>52408.59</v>
      </c>
      <c r="N44" s="34">
        <v>1</v>
      </c>
      <c r="O44" s="34">
        <v>27</v>
      </c>
      <c r="P44" s="36">
        <v>2211315.19</v>
      </c>
      <c r="Q44" s="132">
        <v>1</v>
      </c>
      <c r="R44" s="132">
        <v>18</v>
      </c>
      <c r="S44" s="115">
        <v>350588.11</v>
      </c>
      <c r="T44" s="1"/>
      <c r="U44" s="34"/>
      <c r="V44" s="34"/>
      <c r="W44" s="27"/>
      <c r="X44" s="95">
        <v>1</v>
      </c>
      <c r="Y44" s="95">
        <v>0</v>
      </c>
      <c r="Z44" s="27">
        <v>0</v>
      </c>
      <c r="AA44" s="95">
        <v>4</v>
      </c>
      <c r="AB44" s="95">
        <v>0</v>
      </c>
      <c r="AC44" s="27">
        <v>0</v>
      </c>
      <c r="AD44" s="57">
        <v>3</v>
      </c>
      <c r="AE44" s="57">
        <v>1</v>
      </c>
      <c r="AF44" s="104">
        <f t="shared" si="0"/>
        <v>0.33333333333333331</v>
      </c>
      <c r="AG44" s="214" t="str">
        <f t="shared" si="1"/>
        <v>OK</v>
      </c>
      <c r="AH44" t="s">
        <v>35</v>
      </c>
      <c r="AI44">
        <v>350588.11</v>
      </c>
    </row>
    <row r="45" spans="1:35" x14ac:dyDescent="0.25">
      <c r="A45" s="17" t="s">
        <v>36</v>
      </c>
      <c r="B45" s="34"/>
      <c r="C45" s="34"/>
      <c r="D45" s="36"/>
      <c r="E45" s="34"/>
      <c r="F45" s="34"/>
      <c r="G45" s="36"/>
      <c r="H45" s="34">
        <v>1</v>
      </c>
      <c r="I45" s="34">
        <v>3</v>
      </c>
      <c r="J45" s="36">
        <v>4987.55</v>
      </c>
      <c r="K45" s="34">
        <v>1</v>
      </c>
      <c r="L45" s="34">
        <v>8</v>
      </c>
      <c r="M45" s="36">
        <v>19743.560000000001</v>
      </c>
      <c r="N45" s="34">
        <v>1</v>
      </c>
      <c r="O45" s="34">
        <v>9</v>
      </c>
      <c r="P45" s="36">
        <v>11883</v>
      </c>
      <c r="Q45" s="132">
        <v>1</v>
      </c>
      <c r="R45" s="132">
        <v>18</v>
      </c>
      <c r="S45" s="115">
        <v>18140.66</v>
      </c>
      <c r="T45" s="1"/>
      <c r="U45" s="34"/>
      <c r="V45" s="34"/>
      <c r="W45" s="27"/>
      <c r="X45" s="95">
        <v>2</v>
      </c>
      <c r="Y45" s="95">
        <v>2</v>
      </c>
      <c r="Z45" s="27">
        <v>1</v>
      </c>
      <c r="AA45" s="95">
        <v>2</v>
      </c>
      <c r="AB45" s="95">
        <v>1</v>
      </c>
      <c r="AC45" s="27">
        <v>0.5</v>
      </c>
      <c r="AD45" s="57">
        <v>2</v>
      </c>
      <c r="AE45" s="57">
        <v>1</v>
      </c>
      <c r="AF45" s="104">
        <f t="shared" si="0"/>
        <v>0.5</v>
      </c>
      <c r="AG45" s="214" t="str">
        <f t="shared" si="1"/>
        <v>OK</v>
      </c>
      <c r="AH45" t="s">
        <v>36</v>
      </c>
      <c r="AI45">
        <v>18140.66</v>
      </c>
    </row>
    <row r="46" spans="1:35" x14ac:dyDescent="0.25">
      <c r="A46" s="17" t="s">
        <v>37</v>
      </c>
      <c r="B46" s="34">
        <v>5</v>
      </c>
      <c r="C46" s="34">
        <v>173</v>
      </c>
      <c r="D46" s="36">
        <v>13957722.970000001</v>
      </c>
      <c r="E46" s="34">
        <v>5</v>
      </c>
      <c r="F46" s="34">
        <v>179</v>
      </c>
      <c r="G46" s="36">
        <v>13453845.040000001</v>
      </c>
      <c r="H46" s="34">
        <v>6</v>
      </c>
      <c r="I46" s="34">
        <v>193</v>
      </c>
      <c r="J46" s="36">
        <v>9789193.9400000013</v>
      </c>
      <c r="K46" s="34">
        <v>8</v>
      </c>
      <c r="L46" s="34">
        <v>197</v>
      </c>
      <c r="M46" s="36">
        <v>11418378.459999997</v>
      </c>
      <c r="N46" s="34">
        <v>5</v>
      </c>
      <c r="O46" s="34">
        <v>338</v>
      </c>
      <c r="P46" s="36">
        <v>72204520.739999995</v>
      </c>
      <c r="Q46" s="132">
        <v>5</v>
      </c>
      <c r="R46" s="132">
        <v>324</v>
      </c>
      <c r="S46" s="115">
        <v>71650085.609999999</v>
      </c>
      <c r="T46" s="1"/>
      <c r="U46" s="34">
        <v>7</v>
      </c>
      <c r="V46" s="34">
        <v>6</v>
      </c>
      <c r="W46" s="27">
        <v>0.8571428571428571</v>
      </c>
      <c r="X46" s="95">
        <v>10</v>
      </c>
      <c r="Y46" s="95">
        <v>8</v>
      </c>
      <c r="Z46" s="27">
        <v>0.8</v>
      </c>
      <c r="AA46" s="95">
        <v>21</v>
      </c>
      <c r="AB46" s="95">
        <v>17</v>
      </c>
      <c r="AC46" s="27">
        <v>0.80952380952380953</v>
      </c>
      <c r="AD46" s="57">
        <v>17</v>
      </c>
      <c r="AE46" s="57">
        <v>12</v>
      </c>
      <c r="AF46" s="104">
        <f t="shared" si="0"/>
        <v>0.70588235294117652</v>
      </c>
      <c r="AG46" s="214" t="str">
        <f t="shared" si="1"/>
        <v>OK</v>
      </c>
      <c r="AH46" t="s">
        <v>37</v>
      </c>
      <c r="AI46">
        <v>71650085.609999999</v>
      </c>
    </row>
    <row r="47" spans="1:35" x14ac:dyDescent="0.25">
      <c r="A47" s="17" t="s">
        <v>38</v>
      </c>
      <c r="B47" s="34">
        <v>4</v>
      </c>
      <c r="C47" s="34">
        <v>322</v>
      </c>
      <c r="D47" s="36">
        <v>1512740.58</v>
      </c>
      <c r="E47" s="34">
        <v>4</v>
      </c>
      <c r="F47" s="34">
        <v>313</v>
      </c>
      <c r="G47" s="36">
        <v>1537191.01</v>
      </c>
      <c r="H47" s="34">
        <v>5</v>
      </c>
      <c r="I47" s="34">
        <v>279</v>
      </c>
      <c r="J47" s="36">
        <v>1713850.9999999998</v>
      </c>
      <c r="K47" s="34">
        <v>7</v>
      </c>
      <c r="L47" s="34">
        <v>286</v>
      </c>
      <c r="M47" s="36">
        <v>1848321.6399999997</v>
      </c>
      <c r="N47" s="34">
        <v>4</v>
      </c>
      <c r="O47" s="34">
        <v>228</v>
      </c>
      <c r="P47" s="36">
        <v>1765853.03</v>
      </c>
      <c r="Q47" s="132">
        <v>4</v>
      </c>
      <c r="R47" s="132">
        <v>170</v>
      </c>
      <c r="S47" s="115">
        <v>1767678.9300000002</v>
      </c>
      <c r="T47" s="1"/>
      <c r="U47" s="34">
        <v>3</v>
      </c>
      <c r="V47" s="34">
        <v>3</v>
      </c>
      <c r="W47" s="27">
        <v>1</v>
      </c>
      <c r="X47" s="95">
        <v>5</v>
      </c>
      <c r="Y47" s="95">
        <v>4</v>
      </c>
      <c r="Z47" s="27">
        <v>0.8</v>
      </c>
      <c r="AA47" s="95">
        <v>7</v>
      </c>
      <c r="AB47" s="95">
        <v>5</v>
      </c>
      <c r="AC47" s="27">
        <v>0.7142857142857143</v>
      </c>
      <c r="AD47" s="57">
        <v>7</v>
      </c>
      <c r="AE47" s="57">
        <v>4</v>
      </c>
      <c r="AF47" s="104">
        <f t="shared" si="0"/>
        <v>0.5714285714285714</v>
      </c>
      <c r="AG47" s="214" t="str">
        <f t="shared" si="1"/>
        <v>OK</v>
      </c>
      <c r="AH47" t="s">
        <v>38</v>
      </c>
      <c r="AI47">
        <v>1767678.9300000002</v>
      </c>
    </row>
    <row r="48" spans="1:35" x14ac:dyDescent="0.25">
      <c r="A48" s="17" t="s">
        <v>39</v>
      </c>
      <c r="B48" s="34"/>
      <c r="C48" s="34"/>
      <c r="D48" s="36"/>
      <c r="E48" s="34"/>
      <c r="F48" s="34"/>
      <c r="G48" s="36"/>
      <c r="H48" s="34">
        <v>1</v>
      </c>
      <c r="I48" s="34">
        <v>5</v>
      </c>
      <c r="J48" s="36">
        <v>6745.88</v>
      </c>
      <c r="K48" s="34">
        <v>1</v>
      </c>
      <c r="L48" s="34">
        <v>31</v>
      </c>
      <c r="M48" s="36">
        <v>171802.9</v>
      </c>
      <c r="N48" s="34">
        <v>1</v>
      </c>
      <c r="O48" s="34">
        <v>17</v>
      </c>
      <c r="P48" s="36">
        <v>99961.26</v>
      </c>
      <c r="Q48" s="132">
        <v>1</v>
      </c>
      <c r="R48" s="132">
        <v>7</v>
      </c>
      <c r="S48" s="115">
        <v>75775.360000000001</v>
      </c>
      <c r="T48" s="1"/>
      <c r="U48" s="34"/>
      <c r="V48" s="34"/>
      <c r="W48" s="27"/>
      <c r="X48" s="95">
        <v>3</v>
      </c>
      <c r="Y48" s="95">
        <v>1</v>
      </c>
      <c r="Z48" s="27">
        <v>0.33333333333333331</v>
      </c>
      <c r="AA48" s="95">
        <v>2</v>
      </c>
      <c r="AB48" s="95">
        <v>0</v>
      </c>
      <c r="AC48" s="27">
        <v>0</v>
      </c>
      <c r="AD48" s="57">
        <v>2</v>
      </c>
      <c r="AE48" s="57"/>
      <c r="AF48" s="104">
        <f t="shared" si="0"/>
        <v>0</v>
      </c>
      <c r="AG48" s="214" t="str">
        <f t="shared" si="1"/>
        <v>OK</v>
      </c>
      <c r="AH48" t="s">
        <v>39</v>
      </c>
      <c r="AI48">
        <v>75775.360000000001</v>
      </c>
    </row>
    <row r="49" spans="1:35" x14ac:dyDescent="0.25">
      <c r="A49" s="17" t="s">
        <v>40</v>
      </c>
      <c r="B49" s="34">
        <v>4</v>
      </c>
      <c r="C49" s="34">
        <v>733</v>
      </c>
      <c r="D49" s="36">
        <v>27166103.300000001</v>
      </c>
      <c r="E49" s="34">
        <v>4</v>
      </c>
      <c r="F49" s="34">
        <v>589</v>
      </c>
      <c r="G49" s="36">
        <v>18067058.550000001</v>
      </c>
      <c r="H49" s="34">
        <v>4</v>
      </c>
      <c r="I49" s="34">
        <v>572</v>
      </c>
      <c r="J49" s="36">
        <v>27424713.379999999</v>
      </c>
      <c r="K49" s="34">
        <v>8</v>
      </c>
      <c r="L49" s="34">
        <v>516</v>
      </c>
      <c r="M49" s="36">
        <v>22231697.839999996</v>
      </c>
      <c r="N49" s="34">
        <v>4</v>
      </c>
      <c r="O49" s="34">
        <v>459</v>
      </c>
      <c r="P49" s="36">
        <v>20032366.899999999</v>
      </c>
      <c r="Q49" s="132">
        <v>3</v>
      </c>
      <c r="R49" s="132">
        <v>388</v>
      </c>
      <c r="S49" s="115">
        <v>1509468.8</v>
      </c>
      <c r="T49" s="1"/>
      <c r="U49" s="34">
        <v>11</v>
      </c>
      <c r="V49" s="34">
        <v>10</v>
      </c>
      <c r="W49" s="27">
        <v>0.90909090909090906</v>
      </c>
      <c r="X49" s="95">
        <v>12</v>
      </c>
      <c r="Y49" s="95">
        <v>12</v>
      </c>
      <c r="Z49" s="27">
        <v>1</v>
      </c>
      <c r="AA49" s="95">
        <v>20</v>
      </c>
      <c r="AB49" s="95">
        <v>14</v>
      </c>
      <c r="AC49" s="27">
        <v>0.7</v>
      </c>
      <c r="AD49" s="57">
        <v>11</v>
      </c>
      <c r="AE49" s="57">
        <v>8</v>
      </c>
      <c r="AF49" s="104">
        <f t="shared" si="0"/>
        <v>0.72727272727272729</v>
      </c>
      <c r="AG49" s="214" t="str">
        <f t="shared" si="1"/>
        <v>OK</v>
      </c>
      <c r="AH49" t="s">
        <v>40</v>
      </c>
      <c r="AI49">
        <v>1509468.8</v>
      </c>
    </row>
    <row r="50" spans="1:35" x14ac:dyDescent="0.25">
      <c r="A50" s="17" t="s">
        <v>41</v>
      </c>
      <c r="B50" s="34">
        <v>26</v>
      </c>
      <c r="C50" s="34">
        <v>3237</v>
      </c>
      <c r="D50" s="36">
        <v>12527171.17</v>
      </c>
      <c r="E50" s="34">
        <v>49</v>
      </c>
      <c r="F50" s="34">
        <v>5909</v>
      </c>
      <c r="G50" s="36">
        <v>12029078.93</v>
      </c>
      <c r="H50" s="34">
        <v>51</v>
      </c>
      <c r="I50" s="34">
        <v>6545</v>
      </c>
      <c r="J50" s="36">
        <v>9527056.2899999991</v>
      </c>
      <c r="K50" s="34">
        <v>84</v>
      </c>
      <c r="L50" s="34">
        <v>6039</v>
      </c>
      <c r="M50" s="36">
        <v>10256590.9</v>
      </c>
      <c r="N50" s="34">
        <v>48</v>
      </c>
      <c r="O50" s="34">
        <v>5789</v>
      </c>
      <c r="P50" s="36">
        <v>9550445.0299999993</v>
      </c>
      <c r="Q50" s="132">
        <v>43</v>
      </c>
      <c r="R50" s="132">
        <v>4992</v>
      </c>
      <c r="S50" s="115">
        <v>10040762.879999999</v>
      </c>
      <c r="T50" s="1"/>
      <c r="U50" s="34">
        <v>73</v>
      </c>
      <c r="V50" s="34">
        <v>52</v>
      </c>
      <c r="W50" s="27">
        <v>0.71232876712328763</v>
      </c>
      <c r="X50" s="95">
        <v>70</v>
      </c>
      <c r="Y50" s="95">
        <v>45</v>
      </c>
      <c r="Z50" s="27">
        <v>0.6428571428571429</v>
      </c>
      <c r="AA50" s="95">
        <v>116</v>
      </c>
      <c r="AB50" s="95">
        <v>67</v>
      </c>
      <c r="AC50" s="27">
        <v>0.57758620689655171</v>
      </c>
      <c r="AD50" s="57">
        <v>106</v>
      </c>
      <c r="AE50" s="57">
        <v>69</v>
      </c>
      <c r="AF50" s="104">
        <f t="shared" si="0"/>
        <v>0.65094339622641506</v>
      </c>
      <c r="AG50" s="214" t="str">
        <f t="shared" si="1"/>
        <v>OK</v>
      </c>
      <c r="AH50" t="s">
        <v>41</v>
      </c>
      <c r="AI50">
        <v>10040762.879999999</v>
      </c>
    </row>
    <row r="51" spans="1:35" x14ac:dyDescent="0.25">
      <c r="A51" s="17" t="s">
        <v>42</v>
      </c>
      <c r="B51" s="34">
        <v>16</v>
      </c>
      <c r="C51" s="34">
        <v>332</v>
      </c>
      <c r="D51" s="36">
        <v>11876416.600000001</v>
      </c>
      <c r="E51" s="34">
        <v>14</v>
      </c>
      <c r="F51" s="34">
        <v>331</v>
      </c>
      <c r="G51" s="36">
        <v>10040412.930000002</v>
      </c>
      <c r="H51" s="34">
        <v>14</v>
      </c>
      <c r="I51" s="34">
        <v>333</v>
      </c>
      <c r="J51" s="36">
        <v>11025414.959999999</v>
      </c>
      <c r="K51" s="34">
        <v>19</v>
      </c>
      <c r="L51" s="34">
        <v>324</v>
      </c>
      <c r="M51" s="36">
        <v>10581842.83</v>
      </c>
      <c r="N51" s="34">
        <v>15</v>
      </c>
      <c r="O51" s="34">
        <v>334</v>
      </c>
      <c r="P51" s="36">
        <v>16489952.729999997</v>
      </c>
      <c r="Q51" s="132">
        <v>8</v>
      </c>
      <c r="R51" s="132">
        <v>237</v>
      </c>
      <c r="S51" s="115">
        <v>17488956.470000003</v>
      </c>
      <c r="T51" s="1"/>
      <c r="U51" s="34">
        <v>11</v>
      </c>
      <c r="V51" s="34">
        <v>11</v>
      </c>
      <c r="W51" s="27">
        <v>1</v>
      </c>
      <c r="X51" s="95">
        <v>13</v>
      </c>
      <c r="Y51" s="95">
        <v>9</v>
      </c>
      <c r="Z51" s="27">
        <v>0.69230769230769229</v>
      </c>
      <c r="AA51" s="95">
        <v>43</v>
      </c>
      <c r="AB51" s="95">
        <v>20</v>
      </c>
      <c r="AC51" s="27">
        <v>0.46511627906976744</v>
      </c>
      <c r="AD51" s="57">
        <v>21</v>
      </c>
      <c r="AE51" s="57">
        <v>13</v>
      </c>
      <c r="AF51" s="104">
        <f t="shared" si="0"/>
        <v>0.61904761904761907</v>
      </c>
      <c r="AG51" s="214" t="str">
        <f t="shared" si="1"/>
        <v>OK</v>
      </c>
      <c r="AH51" t="s">
        <v>42</v>
      </c>
      <c r="AI51">
        <v>17488956.470000003</v>
      </c>
    </row>
    <row r="52" spans="1:35" x14ac:dyDescent="0.25">
      <c r="A52" s="17"/>
      <c r="B52" s="34"/>
      <c r="C52" s="17"/>
      <c r="D52" s="17"/>
      <c r="E52" s="17"/>
      <c r="F52" s="17"/>
      <c r="G52" s="17"/>
      <c r="H52" s="17"/>
      <c r="I52" s="34"/>
      <c r="J52" s="17"/>
      <c r="K52" s="17"/>
      <c r="L52" s="34"/>
      <c r="M52" s="17"/>
      <c r="N52" s="17"/>
      <c r="O52" s="34"/>
      <c r="P52" s="17"/>
      <c r="Q52" s="132"/>
      <c r="R52" s="132"/>
      <c r="S52" s="116"/>
      <c r="T52" s="1"/>
      <c r="U52" s="34"/>
      <c r="V52" s="34"/>
      <c r="W52" s="35"/>
      <c r="X52" s="34"/>
      <c r="Y52" s="34"/>
      <c r="Z52" s="35"/>
      <c r="AA52" s="34"/>
      <c r="AB52" s="34"/>
      <c r="AC52" s="35"/>
      <c r="AD52" s="57"/>
      <c r="AE52" s="57"/>
      <c r="AF52" s="118"/>
    </row>
    <row r="53" spans="1:35" ht="15.75" thickBot="1" x14ac:dyDescent="0.3">
      <c r="A53" s="26" t="s">
        <v>129</v>
      </c>
      <c r="B53" s="29">
        <v>403</v>
      </c>
      <c r="C53" s="29">
        <v>34381</v>
      </c>
      <c r="D53" s="37">
        <v>608379971.28000009</v>
      </c>
      <c r="E53" s="29">
        <v>404</v>
      </c>
      <c r="F53" s="29">
        <v>37562</v>
      </c>
      <c r="G53" s="37">
        <v>583975424.8499999</v>
      </c>
      <c r="H53" s="29">
        <v>398</v>
      </c>
      <c r="I53" s="29">
        <v>39037</v>
      </c>
      <c r="J53" s="37">
        <v>601395570.47000003</v>
      </c>
      <c r="K53" s="29">
        <v>593</v>
      </c>
      <c r="L53" s="29">
        <v>36013</v>
      </c>
      <c r="M53" s="37">
        <v>547335922.30999982</v>
      </c>
      <c r="N53" s="29">
        <v>355</v>
      </c>
      <c r="O53" s="29">
        <v>36034</v>
      </c>
      <c r="P53" s="37">
        <v>642474554.29999995</v>
      </c>
      <c r="Q53" s="131">
        <f t="shared" ref="Q53:S53" si="2">SUM(Q6:Q51)</f>
        <v>344</v>
      </c>
      <c r="R53" s="131">
        <f t="shared" si="2"/>
        <v>34377</v>
      </c>
      <c r="S53" s="114">
        <f t="shared" si="2"/>
        <v>614750472.97000003</v>
      </c>
      <c r="T53" s="1"/>
      <c r="U53" s="29">
        <v>598</v>
      </c>
      <c r="V53" s="29">
        <v>451</v>
      </c>
      <c r="W53" s="28">
        <v>0.75418060200668902</v>
      </c>
      <c r="X53" s="29">
        <v>571</v>
      </c>
      <c r="Y53" s="29">
        <v>411</v>
      </c>
      <c r="Z53" s="28">
        <v>0.71978984238178634</v>
      </c>
      <c r="AA53" s="29">
        <v>1362</v>
      </c>
      <c r="AB53" s="29">
        <v>683</v>
      </c>
      <c r="AC53" s="28">
        <v>0.50146842878120412</v>
      </c>
      <c r="AD53" s="131">
        <f>SUM(AD6:AD51)</f>
        <v>789</v>
      </c>
      <c r="AE53" s="131">
        <f>SUM(AE6:AE51)</f>
        <v>486</v>
      </c>
      <c r="AF53" s="117">
        <f>AE53/AD53</f>
        <v>0.61596958174904948</v>
      </c>
    </row>
    <row r="54" spans="1:35" ht="15.75" thickTop="1" x14ac:dyDescent="0.25"/>
  </sheetData>
  <sortState ref="AH6:AI48">
    <sortCondition ref="AH6"/>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D75"/>
  <sheetViews>
    <sheetView workbookViewId="0">
      <pane xSplit="1" ySplit="5" topLeftCell="AL33" activePane="bottomRight" state="frozen"/>
      <selection activeCell="C8" sqref="C8"/>
      <selection pane="topRight" activeCell="C8" sqref="C8"/>
      <selection pane="bottomLeft" activeCell="C8" sqref="C8"/>
      <selection pane="bottomRight" activeCell="C8" sqref="C8"/>
    </sheetView>
  </sheetViews>
  <sheetFormatPr defaultRowHeight="15" x14ac:dyDescent="0.25"/>
  <cols>
    <col min="1" max="1" width="49.28515625" bestFit="1" customWidth="1"/>
    <col min="20" max="20" width="2.7109375" customWidth="1"/>
    <col min="21" max="21" width="9.140625" customWidth="1"/>
    <col min="22" max="22" width="12.5703125" customWidth="1"/>
    <col min="23" max="23" width="9.140625" customWidth="1"/>
    <col min="24" max="24" width="10.5703125" customWidth="1"/>
    <col min="25" max="25" width="9.140625" customWidth="1"/>
    <col min="26" max="26" width="12.5703125" customWidth="1"/>
    <col min="27" max="27" width="9.140625" customWidth="1"/>
    <col min="28" max="28" width="10.5703125" customWidth="1"/>
    <col min="29" max="29" width="9.140625" customWidth="1"/>
    <col min="30" max="30" width="12.5703125" customWidth="1"/>
    <col min="31" max="31" width="9.140625" customWidth="1"/>
    <col min="32" max="33" width="10.5703125" customWidth="1"/>
    <col min="34" max="34" width="12.5703125" customWidth="1"/>
    <col min="35" max="35" width="9.140625" customWidth="1"/>
    <col min="36" max="36" width="10.5703125" customWidth="1"/>
    <col min="37" max="37" width="9.140625" customWidth="1"/>
    <col min="38" max="38" width="12.5703125" customWidth="1"/>
    <col min="39" max="39" width="9.140625" customWidth="1"/>
    <col min="40" max="40" width="10.5703125" customWidth="1"/>
    <col min="41" max="41" width="2.7109375" customWidth="1"/>
    <col min="42" max="53" width="9.140625" customWidth="1"/>
    <col min="55" max="55" width="23.42578125" customWidth="1"/>
    <col min="56" max="56" width="12" bestFit="1" customWidth="1"/>
  </cols>
  <sheetData>
    <row r="1" spans="1:56" x14ac:dyDescent="0.25">
      <c r="A1" s="30">
        <v>1</v>
      </c>
      <c r="B1" s="30">
        <v>2</v>
      </c>
      <c r="C1" s="30">
        <v>3</v>
      </c>
      <c r="D1" s="30">
        <v>4</v>
      </c>
      <c r="E1" s="30">
        <v>5</v>
      </c>
      <c r="F1" s="30">
        <v>6</v>
      </c>
      <c r="G1" s="30">
        <v>7</v>
      </c>
      <c r="H1" s="30">
        <v>8</v>
      </c>
      <c r="I1" s="30">
        <v>9</v>
      </c>
      <c r="J1" s="30">
        <v>10</v>
      </c>
      <c r="K1" s="30">
        <v>11</v>
      </c>
      <c r="L1" s="30">
        <v>12</v>
      </c>
      <c r="M1" s="30">
        <v>13</v>
      </c>
      <c r="N1" s="30">
        <v>14</v>
      </c>
      <c r="O1" s="30">
        <v>15</v>
      </c>
      <c r="P1" s="30">
        <v>16</v>
      </c>
      <c r="Q1" s="30">
        <v>17</v>
      </c>
      <c r="R1" s="30">
        <v>18</v>
      </c>
      <c r="S1" s="30">
        <v>19</v>
      </c>
      <c r="T1" s="30">
        <v>20</v>
      </c>
      <c r="U1" s="30">
        <v>21</v>
      </c>
      <c r="V1" s="30">
        <v>22</v>
      </c>
      <c r="W1" s="30">
        <v>23</v>
      </c>
      <c r="X1" s="30">
        <v>24</v>
      </c>
      <c r="Y1" s="30">
        <v>25</v>
      </c>
      <c r="Z1" s="30">
        <v>26</v>
      </c>
      <c r="AA1" s="30">
        <v>27</v>
      </c>
      <c r="AB1" s="30">
        <v>28</v>
      </c>
      <c r="AC1" s="30">
        <v>29</v>
      </c>
      <c r="AD1" s="30">
        <v>30</v>
      </c>
      <c r="AE1" s="30">
        <v>31</v>
      </c>
      <c r="AF1" s="30">
        <v>32</v>
      </c>
      <c r="AG1" s="30">
        <v>33</v>
      </c>
      <c r="AH1" s="30">
        <v>34</v>
      </c>
      <c r="AI1" s="30">
        <v>35</v>
      </c>
      <c r="AJ1" s="30">
        <v>36</v>
      </c>
      <c r="AK1" s="30">
        <v>37</v>
      </c>
      <c r="AL1" s="30">
        <v>38</v>
      </c>
      <c r="AM1" s="30">
        <v>39</v>
      </c>
      <c r="AN1" s="30">
        <v>40</v>
      </c>
      <c r="AO1" s="30">
        <v>41</v>
      </c>
      <c r="AP1" s="30">
        <v>42</v>
      </c>
      <c r="AQ1" s="30">
        <v>43</v>
      </c>
      <c r="AR1" s="30">
        <v>44</v>
      </c>
      <c r="AS1" s="30">
        <v>45</v>
      </c>
      <c r="AT1" s="30">
        <v>46</v>
      </c>
      <c r="AU1" s="30">
        <v>47</v>
      </c>
      <c r="AV1" s="30">
        <v>48</v>
      </c>
      <c r="AW1" s="30">
        <v>49</v>
      </c>
      <c r="AX1" s="30">
        <v>50</v>
      </c>
      <c r="AY1" s="30">
        <v>51</v>
      </c>
      <c r="AZ1" s="30">
        <v>52</v>
      </c>
      <c r="BA1" s="30">
        <v>53</v>
      </c>
    </row>
    <row r="2" spans="1:56" x14ac:dyDescent="0.25">
      <c r="B2" s="85"/>
      <c r="C2" s="85"/>
      <c r="D2" s="85"/>
      <c r="E2" s="85"/>
      <c r="F2" s="85"/>
      <c r="G2" s="85"/>
      <c r="H2" s="85"/>
      <c r="I2" s="85"/>
      <c r="J2" s="85"/>
      <c r="K2" s="85"/>
      <c r="L2" s="85"/>
      <c r="M2" s="85"/>
      <c r="N2" s="85"/>
      <c r="O2" s="85"/>
      <c r="P2" s="85"/>
      <c r="Q2" s="85"/>
      <c r="R2" s="85"/>
      <c r="S2" s="85"/>
      <c r="T2" s="39"/>
      <c r="U2" s="89"/>
      <c r="V2" s="90"/>
      <c r="W2" s="89"/>
      <c r="X2" s="90"/>
      <c r="Y2" s="89"/>
      <c r="Z2" s="90"/>
      <c r="AA2" s="89"/>
      <c r="AB2" s="90"/>
      <c r="AC2" s="89"/>
      <c r="AD2" s="90"/>
      <c r="AE2" s="89"/>
      <c r="AF2" s="90"/>
      <c r="AG2" s="90"/>
      <c r="AH2" s="90"/>
      <c r="AI2" s="89"/>
      <c r="AJ2" s="90"/>
      <c r="AK2" s="89"/>
      <c r="AL2" s="90"/>
      <c r="AM2" s="89"/>
      <c r="AN2" s="90"/>
      <c r="AO2" s="39"/>
      <c r="AP2" s="82" t="s">
        <v>176</v>
      </c>
      <c r="AQ2" s="82"/>
      <c r="AR2" s="82"/>
      <c r="AS2" s="82"/>
      <c r="AT2" s="82"/>
      <c r="AU2" s="82"/>
      <c r="AV2" s="82"/>
      <c r="AW2" s="82"/>
      <c r="AX2" s="82"/>
      <c r="AY2" s="82"/>
      <c r="AZ2" s="82"/>
      <c r="BA2" s="82"/>
    </row>
    <row r="3" spans="1:56" x14ac:dyDescent="0.25">
      <c r="B3" s="86" t="s">
        <v>151</v>
      </c>
      <c r="C3" s="86"/>
      <c r="D3" s="87"/>
      <c r="E3" s="88"/>
      <c r="F3" s="88"/>
      <c r="G3" s="87"/>
      <c r="H3" s="88"/>
      <c r="I3" s="88"/>
      <c r="J3" s="87"/>
      <c r="K3" s="88"/>
      <c r="L3" s="88"/>
      <c r="M3" s="87"/>
      <c r="N3" s="88"/>
      <c r="O3" s="88"/>
      <c r="P3" s="87"/>
      <c r="Q3" s="88"/>
      <c r="R3" s="88"/>
      <c r="S3" s="87"/>
      <c r="T3" s="78"/>
      <c r="U3" s="91" t="s">
        <v>153</v>
      </c>
      <c r="V3" s="91"/>
      <c r="W3" s="91"/>
      <c r="X3" s="91"/>
      <c r="Y3" s="91"/>
      <c r="Z3" s="91"/>
      <c r="AA3" s="91"/>
      <c r="AB3" s="91"/>
      <c r="AC3" s="91"/>
      <c r="AD3" s="91"/>
      <c r="AE3" s="91"/>
      <c r="AF3" s="91"/>
      <c r="AG3" s="91"/>
      <c r="AH3" s="91"/>
      <c r="AI3" s="91"/>
      <c r="AJ3" s="91"/>
      <c r="AK3" s="91"/>
      <c r="AL3" s="91"/>
      <c r="AM3" s="91"/>
      <c r="AN3" s="91"/>
      <c r="AO3" s="78"/>
      <c r="AP3" s="84"/>
      <c r="AQ3" s="84"/>
      <c r="AR3" s="83"/>
      <c r="AS3" s="84"/>
      <c r="AT3" s="84"/>
      <c r="AU3" s="83"/>
      <c r="AV3" s="84"/>
      <c r="AW3" s="84"/>
      <c r="AX3" s="83"/>
      <c r="AY3" s="84"/>
      <c r="AZ3" s="84"/>
      <c r="BA3" s="83"/>
    </row>
    <row r="4" spans="1:56" x14ac:dyDescent="0.25">
      <c r="B4" s="45">
        <v>2014</v>
      </c>
      <c r="C4" s="45">
        <v>2014</v>
      </c>
      <c r="D4" s="45">
        <v>2014</v>
      </c>
      <c r="E4" s="45">
        <v>2015</v>
      </c>
      <c r="F4" s="45">
        <v>2015</v>
      </c>
      <c r="G4" s="45">
        <v>2015</v>
      </c>
      <c r="H4" s="45">
        <v>2016</v>
      </c>
      <c r="I4" s="45">
        <v>2016</v>
      </c>
      <c r="J4" s="45">
        <v>2016</v>
      </c>
      <c r="K4" s="45">
        <v>2017</v>
      </c>
      <c r="L4" s="45">
        <v>2017</v>
      </c>
      <c r="M4" s="45">
        <v>2017</v>
      </c>
      <c r="N4" s="45">
        <v>2018</v>
      </c>
      <c r="O4" s="45">
        <v>2018</v>
      </c>
      <c r="P4" s="45">
        <v>2018</v>
      </c>
      <c r="Q4" s="45">
        <v>2019</v>
      </c>
      <c r="R4" s="45">
        <v>2019</v>
      </c>
      <c r="S4" s="45">
        <v>2019</v>
      </c>
      <c r="T4" s="17"/>
      <c r="U4" s="45">
        <v>2015</v>
      </c>
      <c r="V4" s="45">
        <v>2015</v>
      </c>
      <c r="W4" s="45">
        <v>2015</v>
      </c>
      <c r="X4" s="45">
        <v>2015</v>
      </c>
      <c r="Y4" s="45">
        <v>2016</v>
      </c>
      <c r="Z4" s="45">
        <v>2016</v>
      </c>
      <c r="AA4" s="45">
        <v>2016</v>
      </c>
      <c r="AB4" s="45">
        <v>2016</v>
      </c>
      <c r="AC4" s="45">
        <v>2017</v>
      </c>
      <c r="AD4" s="45">
        <v>2017</v>
      </c>
      <c r="AE4" s="45">
        <v>2017</v>
      </c>
      <c r="AF4" s="45">
        <v>2017</v>
      </c>
      <c r="AG4" s="45">
        <v>2018</v>
      </c>
      <c r="AH4" s="45">
        <v>2018</v>
      </c>
      <c r="AI4" s="45">
        <v>2018</v>
      </c>
      <c r="AJ4" s="45">
        <v>2018</v>
      </c>
      <c r="AK4" s="45">
        <v>2019</v>
      </c>
      <c r="AL4" s="45">
        <v>2019</v>
      </c>
      <c r="AM4" s="45">
        <v>2019</v>
      </c>
      <c r="AN4" s="45">
        <v>2019</v>
      </c>
      <c r="AO4" s="17"/>
      <c r="AP4" s="45">
        <v>2015</v>
      </c>
      <c r="AQ4" s="45">
        <v>2015</v>
      </c>
      <c r="AR4" s="45">
        <v>2015</v>
      </c>
      <c r="AS4" s="45">
        <v>2017</v>
      </c>
      <c r="AT4" s="45">
        <v>2017</v>
      </c>
      <c r="AU4" s="45">
        <v>2017</v>
      </c>
      <c r="AV4" s="45">
        <v>2018</v>
      </c>
      <c r="AW4" s="45">
        <v>2018</v>
      </c>
      <c r="AX4" s="45">
        <v>2018</v>
      </c>
      <c r="AY4" s="45">
        <v>2019</v>
      </c>
      <c r="AZ4" s="45">
        <v>2019</v>
      </c>
      <c r="BA4" s="45">
        <v>2019</v>
      </c>
    </row>
    <row r="5" spans="1:56" ht="45" x14ac:dyDescent="0.25">
      <c r="A5" s="41" t="s">
        <v>45</v>
      </c>
      <c r="B5" s="42" t="s">
        <v>149</v>
      </c>
      <c r="C5" s="42" t="s">
        <v>152</v>
      </c>
      <c r="D5" s="42" t="s">
        <v>150</v>
      </c>
      <c r="E5" s="42" t="s">
        <v>149</v>
      </c>
      <c r="F5" s="42" t="s">
        <v>152</v>
      </c>
      <c r="G5" s="42" t="s">
        <v>150</v>
      </c>
      <c r="H5" s="42" t="s">
        <v>149</v>
      </c>
      <c r="I5" s="42" t="s">
        <v>152</v>
      </c>
      <c r="J5" s="42" t="s">
        <v>150</v>
      </c>
      <c r="K5" s="42" t="s">
        <v>149</v>
      </c>
      <c r="L5" s="42" t="s">
        <v>152</v>
      </c>
      <c r="M5" s="42" t="s">
        <v>150</v>
      </c>
      <c r="N5" s="42" t="s">
        <v>149</v>
      </c>
      <c r="O5" s="42" t="s">
        <v>152</v>
      </c>
      <c r="P5" s="42" t="s">
        <v>150</v>
      </c>
      <c r="Q5" s="42" t="s">
        <v>149</v>
      </c>
      <c r="R5" s="42" t="s">
        <v>152</v>
      </c>
      <c r="S5" s="42" t="s">
        <v>150</v>
      </c>
      <c r="T5" s="43"/>
      <c r="U5" s="44" t="s">
        <v>200</v>
      </c>
      <c r="V5" s="44" t="s">
        <v>154</v>
      </c>
      <c r="W5" s="44" t="s">
        <v>155</v>
      </c>
      <c r="X5" s="44" t="s">
        <v>156</v>
      </c>
      <c r="Y5" s="44" t="s">
        <v>200</v>
      </c>
      <c r="Z5" s="44" t="s">
        <v>154</v>
      </c>
      <c r="AA5" s="44" t="s">
        <v>155</v>
      </c>
      <c r="AB5" s="44" t="s">
        <v>156</v>
      </c>
      <c r="AC5" s="44" t="s">
        <v>200</v>
      </c>
      <c r="AD5" s="44" t="s">
        <v>154</v>
      </c>
      <c r="AE5" s="44" t="s">
        <v>155</v>
      </c>
      <c r="AF5" s="44" t="s">
        <v>156</v>
      </c>
      <c r="AG5" s="44" t="s">
        <v>200</v>
      </c>
      <c r="AH5" s="44" t="s">
        <v>154</v>
      </c>
      <c r="AI5" s="44" t="s">
        <v>155</v>
      </c>
      <c r="AJ5" s="44" t="s">
        <v>156</v>
      </c>
      <c r="AK5" s="44" t="s">
        <v>200</v>
      </c>
      <c r="AL5" s="44" t="s">
        <v>154</v>
      </c>
      <c r="AM5" s="44" t="s">
        <v>155</v>
      </c>
      <c r="AN5" s="44" t="s">
        <v>156</v>
      </c>
      <c r="AO5" s="43"/>
      <c r="AP5" s="42" t="s">
        <v>177</v>
      </c>
      <c r="AQ5" s="42" t="s">
        <v>178</v>
      </c>
      <c r="AR5" s="42" t="s">
        <v>179</v>
      </c>
      <c r="AS5" s="42" t="s">
        <v>177</v>
      </c>
      <c r="AT5" s="42" t="s">
        <v>178</v>
      </c>
      <c r="AU5" s="42" t="s">
        <v>179</v>
      </c>
      <c r="AV5" s="42" t="s">
        <v>177</v>
      </c>
      <c r="AW5" s="42" t="s">
        <v>178</v>
      </c>
      <c r="AX5" s="42" t="s">
        <v>179</v>
      </c>
      <c r="AY5" s="42" t="s">
        <v>177</v>
      </c>
      <c r="AZ5" s="42" t="s">
        <v>178</v>
      </c>
      <c r="BA5" s="42" t="s">
        <v>179</v>
      </c>
      <c r="BC5" s="44" t="s">
        <v>45</v>
      </c>
      <c r="BD5" s="44"/>
    </row>
    <row r="6" spans="1:56" x14ac:dyDescent="0.25">
      <c r="A6" s="17" t="s">
        <v>0</v>
      </c>
      <c r="B6" s="34">
        <v>2</v>
      </c>
      <c r="C6" s="34">
        <v>2</v>
      </c>
      <c r="D6" s="27">
        <v>1</v>
      </c>
      <c r="E6" s="34">
        <v>1</v>
      </c>
      <c r="F6" s="34">
        <v>1</v>
      </c>
      <c r="G6" s="27">
        <v>1</v>
      </c>
      <c r="H6" s="34">
        <v>3</v>
      </c>
      <c r="I6" s="34">
        <v>3</v>
      </c>
      <c r="J6" s="27">
        <v>1</v>
      </c>
      <c r="K6" s="95">
        <v>3</v>
      </c>
      <c r="L6" s="95">
        <v>3</v>
      </c>
      <c r="M6" s="27">
        <v>1</v>
      </c>
      <c r="N6" s="95">
        <v>3</v>
      </c>
      <c r="O6" s="95">
        <v>3</v>
      </c>
      <c r="P6" s="27">
        <v>1</v>
      </c>
      <c r="Q6" s="132">
        <v>3</v>
      </c>
      <c r="R6" s="132">
        <v>3</v>
      </c>
      <c r="S6" s="104">
        <f>R6/Q6</f>
        <v>1</v>
      </c>
      <c r="T6" s="17"/>
      <c r="U6" s="46">
        <v>66864</v>
      </c>
      <c r="V6" s="36">
        <v>521132.94</v>
      </c>
      <c r="W6" s="46">
        <v>147</v>
      </c>
      <c r="X6" s="36">
        <v>2870.9700000000003</v>
      </c>
      <c r="Y6" s="46">
        <v>63188</v>
      </c>
      <c r="Z6" s="36">
        <v>584166.24</v>
      </c>
      <c r="AA6" s="46">
        <v>202</v>
      </c>
      <c r="AB6" s="36">
        <v>4389.4799999999996</v>
      </c>
      <c r="AC6" s="134">
        <v>67980</v>
      </c>
      <c r="AD6" s="36">
        <v>705127.44000000006</v>
      </c>
      <c r="AE6" s="134">
        <v>215</v>
      </c>
      <c r="AF6" s="36">
        <v>6529.94</v>
      </c>
      <c r="AG6" s="36">
        <v>65082</v>
      </c>
      <c r="AH6" s="36">
        <v>761368.48</v>
      </c>
      <c r="AI6" s="134">
        <v>259</v>
      </c>
      <c r="AJ6" s="36">
        <v>6690.92</v>
      </c>
      <c r="AK6" s="133">
        <v>60309</v>
      </c>
      <c r="AL6" s="115">
        <v>645234.98</v>
      </c>
      <c r="AM6" s="133">
        <v>263</v>
      </c>
      <c r="AN6" s="115">
        <v>4997.46</v>
      </c>
      <c r="AO6" s="17"/>
      <c r="AP6" s="34">
        <v>1</v>
      </c>
      <c r="AQ6" s="34">
        <v>0</v>
      </c>
      <c r="AR6" s="27">
        <v>0</v>
      </c>
      <c r="AS6" s="34">
        <v>12</v>
      </c>
      <c r="AT6" s="34">
        <v>5</v>
      </c>
      <c r="AU6" s="27">
        <v>0.41666666666666669</v>
      </c>
      <c r="AV6" s="34">
        <v>11</v>
      </c>
      <c r="AW6" s="34">
        <v>8</v>
      </c>
      <c r="AX6" s="27">
        <v>0.72727272727272729</v>
      </c>
      <c r="AY6" s="132">
        <v>12</v>
      </c>
      <c r="AZ6" s="132">
        <v>8</v>
      </c>
      <c r="BA6" s="104">
        <f>AZ6/AY6</f>
        <v>0.66666666666666663</v>
      </c>
      <c r="BB6" s="214" t="str">
        <f>IF(BC6=A6,"OK","No")</f>
        <v>No</v>
      </c>
      <c r="BC6" s="293" t="s">
        <v>375</v>
      </c>
      <c r="BD6" s="294">
        <v>645234.98</v>
      </c>
    </row>
    <row r="7" spans="1:56" x14ac:dyDescent="0.25">
      <c r="A7" s="17" t="s">
        <v>26</v>
      </c>
      <c r="B7" s="34">
        <v>12</v>
      </c>
      <c r="C7" s="34">
        <v>9</v>
      </c>
      <c r="D7" s="27">
        <v>0.75</v>
      </c>
      <c r="E7" s="34">
        <v>12</v>
      </c>
      <c r="F7" s="34">
        <v>11</v>
      </c>
      <c r="G7" s="27">
        <v>0.91666666666666663</v>
      </c>
      <c r="H7" s="34">
        <v>15</v>
      </c>
      <c r="I7" s="34">
        <v>10</v>
      </c>
      <c r="J7" s="27">
        <v>0.66666666666666663</v>
      </c>
      <c r="K7" s="95">
        <v>13</v>
      </c>
      <c r="L7" s="95">
        <v>6</v>
      </c>
      <c r="M7" s="27">
        <v>0.46153846153846156</v>
      </c>
      <c r="N7" s="95">
        <v>12</v>
      </c>
      <c r="O7" s="95">
        <v>9</v>
      </c>
      <c r="P7" s="27">
        <v>0.75</v>
      </c>
      <c r="Q7" s="132">
        <v>13</v>
      </c>
      <c r="R7" s="132">
        <v>11</v>
      </c>
      <c r="S7" s="104">
        <f t="shared" ref="S7:S51" si="0">R7/Q7</f>
        <v>0.84615384615384615</v>
      </c>
      <c r="T7" s="17"/>
      <c r="U7" s="46">
        <v>114719</v>
      </c>
      <c r="V7" s="36">
        <v>44678133.370000005</v>
      </c>
      <c r="W7" s="46">
        <v>1364</v>
      </c>
      <c r="X7" s="36">
        <v>292513.06999999995</v>
      </c>
      <c r="Y7" s="46">
        <v>138553</v>
      </c>
      <c r="Z7" s="36">
        <v>60720137.129999988</v>
      </c>
      <c r="AA7" s="46">
        <v>2169</v>
      </c>
      <c r="AB7" s="36">
        <v>429459.24</v>
      </c>
      <c r="AC7" s="134">
        <v>138577</v>
      </c>
      <c r="AD7" s="36">
        <v>52399583.050000004</v>
      </c>
      <c r="AE7" s="134">
        <v>1740</v>
      </c>
      <c r="AF7" s="36">
        <v>488906.89999999997</v>
      </c>
      <c r="AG7" s="36">
        <v>150172</v>
      </c>
      <c r="AH7" s="36">
        <v>61315806.43</v>
      </c>
      <c r="AI7" s="134">
        <v>2692</v>
      </c>
      <c r="AJ7" s="36">
        <v>596584.03</v>
      </c>
      <c r="AK7" s="133">
        <v>144840</v>
      </c>
      <c r="AL7" s="115">
        <v>57989558.890000008</v>
      </c>
      <c r="AM7" s="133">
        <v>2849</v>
      </c>
      <c r="AN7" s="115">
        <v>566170.49</v>
      </c>
      <c r="AO7" s="17"/>
      <c r="AP7" s="34">
        <v>29</v>
      </c>
      <c r="AQ7" s="34">
        <v>18</v>
      </c>
      <c r="AR7" s="27">
        <v>0.62068965517241381</v>
      </c>
      <c r="AS7" s="34">
        <v>48</v>
      </c>
      <c r="AT7" s="34">
        <v>32</v>
      </c>
      <c r="AU7" s="27">
        <v>0.66666666666666663</v>
      </c>
      <c r="AV7" s="34">
        <v>78</v>
      </c>
      <c r="AW7" s="34">
        <v>59</v>
      </c>
      <c r="AX7" s="27">
        <v>0.75641025641025639</v>
      </c>
      <c r="AY7" s="132">
        <v>63</v>
      </c>
      <c r="AZ7" s="132">
        <v>41</v>
      </c>
      <c r="BA7" s="104">
        <f t="shared" ref="BA7:BA51" si="1">AZ7/AY7</f>
        <v>0.65079365079365081</v>
      </c>
      <c r="BB7" s="214" t="str">
        <f t="shared" ref="BB7:BB51" si="2">IF(BC7=A7,"OK","No")</f>
        <v>OK</v>
      </c>
      <c r="BC7" s="293" t="s">
        <v>26</v>
      </c>
      <c r="BD7" s="294">
        <v>57989558.890000008</v>
      </c>
    </row>
    <row r="8" spans="1:56" x14ac:dyDescent="0.25">
      <c r="A8" s="17" t="s">
        <v>1</v>
      </c>
      <c r="B8" s="34">
        <v>9</v>
      </c>
      <c r="C8" s="34">
        <v>9</v>
      </c>
      <c r="D8" s="27">
        <v>1</v>
      </c>
      <c r="E8" s="34">
        <v>8</v>
      </c>
      <c r="F8" s="34">
        <v>8</v>
      </c>
      <c r="G8" s="27">
        <v>1</v>
      </c>
      <c r="H8" s="34">
        <v>11</v>
      </c>
      <c r="I8" s="34">
        <v>11</v>
      </c>
      <c r="J8" s="27">
        <v>1</v>
      </c>
      <c r="K8" s="95">
        <v>9</v>
      </c>
      <c r="L8" s="95">
        <v>8</v>
      </c>
      <c r="M8" s="27">
        <v>0.88888888888888884</v>
      </c>
      <c r="N8" s="95">
        <v>9</v>
      </c>
      <c r="O8" s="95">
        <v>9</v>
      </c>
      <c r="P8" s="27">
        <v>1</v>
      </c>
      <c r="Q8" s="132">
        <v>11</v>
      </c>
      <c r="R8" s="132">
        <v>8</v>
      </c>
      <c r="S8" s="104">
        <f t="shared" si="0"/>
        <v>0.72727272727272729</v>
      </c>
      <c r="T8" s="17"/>
      <c r="U8" s="46">
        <v>1211</v>
      </c>
      <c r="V8" s="36">
        <v>1598954.81</v>
      </c>
      <c r="W8" s="46">
        <v>51</v>
      </c>
      <c r="X8" s="36">
        <v>58232.5</v>
      </c>
      <c r="Y8" s="46">
        <v>1641</v>
      </c>
      <c r="Z8" s="36">
        <v>1991147.31</v>
      </c>
      <c r="AA8" s="46">
        <v>74</v>
      </c>
      <c r="AB8" s="36">
        <v>94554.05</v>
      </c>
      <c r="AC8" s="134">
        <v>1498</v>
      </c>
      <c r="AD8" s="36">
        <v>2344609.58</v>
      </c>
      <c r="AE8" s="134">
        <v>73</v>
      </c>
      <c r="AF8" s="36">
        <v>94469.17</v>
      </c>
      <c r="AG8" s="36">
        <v>1643</v>
      </c>
      <c r="AH8" s="36">
        <v>2658496.75</v>
      </c>
      <c r="AI8" s="134">
        <v>137</v>
      </c>
      <c r="AJ8" s="36">
        <v>132881.45000000001</v>
      </c>
      <c r="AK8" s="133">
        <v>1915</v>
      </c>
      <c r="AL8" s="115">
        <v>2602427.7199999997</v>
      </c>
      <c r="AM8" s="133">
        <v>163</v>
      </c>
      <c r="AN8" s="115">
        <v>140343.5</v>
      </c>
      <c r="AO8" s="17"/>
      <c r="AP8" s="34">
        <v>12</v>
      </c>
      <c r="AQ8" s="34">
        <v>5</v>
      </c>
      <c r="AR8" s="27">
        <v>0.41666666666666669</v>
      </c>
      <c r="AS8" s="34">
        <v>13</v>
      </c>
      <c r="AT8" s="34">
        <v>7</v>
      </c>
      <c r="AU8" s="27">
        <v>0.53846153846153844</v>
      </c>
      <c r="AV8" s="34">
        <v>14</v>
      </c>
      <c r="AW8" s="34">
        <v>9</v>
      </c>
      <c r="AX8" s="27">
        <v>0.6428571428571429</v>
      </c>
      <c r="AY8" s="132">
        <v>16</v>
      </c>
      <c r="AZ8" s="132">
        <v>13</v>
      </c>
      <c r="BA8" s="104">
        <f t="shared" si="1"/>
        <v>0.8125</v>
      </c>
      <c r="BB8" s="214" t="str">
        <f t="shared" si="2"/>
        <v>OK</v>
      </c>
      <c r="BC8" s="293" t="s">
        <v>1</v>
      </c>
      <c r="BD8" s="294">
        <v>2602427.7199999997</v>
      </c>
    </row>
    <row r="9" spans="1:56" x14ac:dyDescent="0.25">
      <c r="A9" s="17" t="s">
        <v>2</v>
      </c>
      <c r="B9" s="34">
        <v>20</v>
      </c>
      <c r="C9" s="34">
        <v>18</v>
      </c>
      <c r="D9" s="27">
        <v>0.9</v>
      </c>
      <c r="E9" s="34">
        <v>28</v>
      </c>
      <c r="F9" s="34">
        <v>22</v>
      </c>
      <c r="G9" s="27">
        <v>0.7857142857142857</v>
      </c>
      <c r="H9" s="34">
        <v>32</v>
      </c>
      <c r="I9" s="34">
        <v>27</v>
      </c>
      <c r="J9" s="27">
        <v>0.84375</v>
      </c>
      <c r="K9" s="95">
        <v>25</v>
      </c>
      <c r="L9" s="95">
        <v>24</v>
      </c>
      <c r="M9" s="27">
        <v>0.96</v>
      </c>
      <c r="N9" s="95">
        <v>26</v>
      </c>
      <c r="O9" s="95">
        <v>23</v>
      </c>
      <c r="P9" s="27">
        <v>0.88461538461538458</v>
      </c>
      <c r="Q9" s="132">
        <v>26</v>
      </c>
      <c r="R9" s="132">
        <v>22</v>
      </c>
      <c r="S9" s="104">
        <f t="shared" si="0"/>
        <v>0.84615384615384615</v>
      </c>
      <c r="T9" s="17"/>
      <c r="U9" s="46">
        <v>10222</v>
      </c>
      <c r="V9" s="36">
        <v>2483003.77</v>
      </c>
      <c r="W9" s="46">
        <v>142</v>
      </c>
      <c r="X9" s="36">
        <v>24023.62</v>
      </c>
      <c r="Y9" s="46">
        <v>10024</v>
      </c>
      <c r="Z9" s="36">
        <v>2208363.7500000005</v>
      </c>
      <c r="AA9" s="46">
        <v>252</v>
      </c>
      <c r="AB9" s="36">
        <v>46022.250000000007</v>
      </c>
      <c r="AC9" s="134">
        <v>10038</v>
      </c>
      <c r="AD9" s="36">
        <v>2309729.0499999998</v>
      </c>
      <c r="AE9" s="134">
        <v>90</v>
      </c>
      <c r="AF9" s="36">
        <v>18294.059999999998</v>
      </c>
      <c r="AG9" s="36">
        <v>7362</v>
      </c>
      <c r="AH9" s="36">
        <v>2098341.7599999998</v>
      </c>
      <c r="AI9" s="134">
        <v>104</v>
      </c>
      <c r="AJ9" s="36">
        <v>26536.71</v>
      </c>
      <c r="AK9" s="133">
        <v>9646</v>
      </c>
      <c r="AL9" s="115">
        <v>2112395.6100000003</v>
      </c>
      <c r="AM9" s="133">
        <v>155</v>
      </c>
      <c r="AN9" s="115">
        <v>41336.320000000007</v>
      </c>
      <c r="AO9" s="17"/>
      <c r="AP9" s="34">
        <v>71</v>
      </c>
      <c r="AQ9" s="34">
        <v>31</v>
      </c>
      <c r="AR9" s="27">
        <v>0.43661971830985913</v>
      </c>
      <c r="AS9" s="34">
        <v>62</v>
      </c>
      <c r="AT9" s="34">
        <v>29</v>
      </c>
      <c r="AU9" s="27">
        <v>0.46774193548387094</v>
      </c>
      <c r="AV9" s="34">
        <v>50</v>
      </c>
      <c r="AW9" s="34">
        <v>27</v>
      </c>
      <c r="AX9" s="27">
        <v>0.54</v>
      </c>
      <c r="AY9" s="132">
        <v>57</v>
      </c>
      <c r="AZ9" s="132">
        <v>39</v>
      </c>
      <c r="BA9" s="104">
        <f t="shared" si="1"/>
        <v>0.68421052631578949</v>
      </c>
      <c r="BB9" s="214" t="str">
        <f t="shared" si="2"/>
        <v>OK</v>
      </c>
      <c r="BC9" s="293" t="s">
        <v>2</v>
      </c>
      <c r="BD9" s="294">
        <v>2112395.6100000003</v>
      </c>
    </row>
    <row r="10" spans="1:56" x14ac:dyDescent="0.25">
      <c r="A10" s="17" t="s">
        <v>3</v>
      </c>
      <c r="B10" s="34">
        <v>1</v>
      </c>
      <c r="C10" s="34">
        <v>1</v>
      </c>
      <c r="D10" s="27">
        <v>1</v>
      </c>
      <c r="E10" s="34">
        <v>1</v>
      </c>
      <c r="F10" s="34">
        <v>1</v>
      </c>
      <c r="G10" s="27">
        <v>1</v>
      </c>
      <c r="H10" s="34">
        <v>1</v>
      </c>
      <c r="I10" s="34">
        <v>1</v>
      </c>
      <c r="J10" s="27">
        <v>1</v>
      </c>
      <c r="K10" s="95">
        <v>1</v>
      </c>
      <c r="L10" s="95">
        <v>1</v>
      </c>
      <c r="M10" s="27">
        <v>1</v>
      </c>
      <c r="N10" s="95">
        <v>1</v>
      </c>
      <c r="O10" s="95">
        <v>1</v>
      </c>
      <c r="P10" s="27">
        <v>1</v>
      </c>
      <c r="Q10" s="132">
        <v>1</v>
      </c>
      <c r="R10" s="132">
        <v>1</v>
      </c>
      <c r="S10" s="104">
        <f t="shared" si="0"/>
        <v>1</v>
      </c>
      <c r="T10" s="17"/>
      <c r="U10" s="46">
        <v>48</v>
      </c>
      <c r="V10" s="36">
        <v>3424</v>
      </c>
      <c r="W10" s="46">
        <v>0</v>
      </c>
      <c r="X10" s="36">
        <v>0</v>
      </c>
      <c r="Y10" s="46">
        <v>23</v>
      </c>
      <c r="Z10" s="36">
        <v>1010</v>
      </c>
      <c r="AA10" s="46">
        <v>0</v>
      </c>
      <c r="AB10" s="36">
        <v>0</v>
      </c>
      <c r="AC10" s="134">
        <v>2</v>
      </c>
      <c r="AD10" s="36">
        <v>1200</v>
      </c>
      <c r="AE10" s="134">
        <v>0</v>
      </c>
      <c r="AF10" s="36">
        <v>0</v>
      </c>
      <c r="AG10" s="36"/>
      <c r="AH10" s="36"/>
      <c r="AI10" s="134"/>
      <c r="AJ10" s="36"/>
      <c r="AK10" s="133"/>
      <c r="AL10" s="115"/>
      <c r="AM10" s="133"/>
      <c r="AN10" s="115"/>
      <c r="AO10" s="17"/>
      <c r="AP10" s="34">
        <v>4</v>
      </c>
      <c r="AQ10" s="34">
        <v>1</v>
      </c>
      <c r="AR10" s="27">
        <v>0.25</v>
      </c>
      <c r="AS10" s="34">
        <v>4</v>
      </c>
      <c r="AT10" s="34">
        <v>4</v>
      </c>
      <c r="AU10" s="27">
        <v>1</v>
      </c>
      <c r="AV10" s="34">
        <v>4</v>
      </c>
      <c r="AW10" s="34">
        <v>4</v>
      </c>
      <c r="AX10" s="27">
        <v>1</v>
      </c>
      <c r="AY10" s="132">
        <v>4</v>
      </c>
      <c r="AZ10" s="132">
        <v>4</v>
      </c>
      <c r="BA10" s="104">
        <f t="shared" si="1"/>
        <v>1</v>
      </c>
      <c r="BB10" s="214" t="str">
        <f t="shared" si="2"/>
        <v>No</v>
      </c>
      <c r="BC10" s="293"/>
      <c r="BD10" s="294"/>
    </row>
    <row r="11" spans="1:56" x14ac:dyDescent="0.25">
      <c r="A11" s="17" t="s">
        <v>33</v>
      </c>
      <c r="B11" s="34"/>
      <c r="C11" s="34"/>
      <c r="D11" s="27"/>
      <c r="E11" s="34"/>
      <c r="F11" s="34"/>
      <c r="G11" s="27"/>
      <c r="H11" s="34"/>
      <c r="I11" s="34"/>
      <c r="J11" s="27"/>
      <c r="K11" s="95"/>
      <c r="L11" s="95"/>
      <c r="M11" s="27"/>
      <c r="N11" s="95"/>
      <c r="O11" s="95"/>
      <c r="P11" s="27"/>
      <c r="Q11" s="132">
        <v>1</v>
      </c>
      <c r="R11" s="132">
        <v>1</v>
      </c>
      <c r="S11" s="104">
        <f t="shared" si="0"/>
        <v>1</v>
      </c>
      <c r="T11" s="17"/>
      <c r="U11" s="46"/>
      <c r="V11" s="36"/>
      <c r="W11" s="46"/>
      <c r="X11" s="36"/>
      <c r="Y11" s="46"/>
      <c r="Z11" s="36"/>
      <c r="AA11" s="46"/>
      <c r="AB11" s="36"/>
      <c r="AC11" s="134"/>
      <c r="AD11" s="36"/>
      <c r="AE11" s="134"/>
      <c r="AF11" s="36"/>
      <c r="AG11" s="36"/>
      <c r="AH11" s="36"/>
      <c r="AI11" s="134"/>
      <c r="AJ11" s="36"/>
      <c r="AK11" s="133">
        <v>46</v>
      </c>
      <c r="AL11" s="115">
        <v>13324.35</v>
      </c>
      <c r="AM11" s="133">
        <v>2</v>
      </c>
      <c r="AN11" s="115">
        <v>614.97</v>
      </c>
      <c r="AO11" s="17"/>
      <c r="AP11" s="34"/>
      <c r="AQ11" s="34"/>
      <c r="AR11" s="27"/>
      <c r="AS11" s="34"/>
      <c r="AT11" s="34"/>
      <c r="AU11" s="27"/>
      <c r="AV11" s="34"/>
      <c r="AW11" s="34"/>
      <c r="AX11" s="27"/>
      <c r="AY11" s="132">
        <v>2</v>
      </c>
      <c r="AZ11" s="132">
        <v>2</v>
      </c>
      <c r="BA11" s="104">
        <f t="shared" si="1"/>
        <v>1</v>
      </c>
      <c r="BB11" s="214" t="str">
        <f t="shared" si="2"/>
        <v>OK</v>
      </c>
      <c r="BC11" s="293" t="s">
        <v>33</v>
      </c>
      <c r="BD11" s="294">
        <v>13324.35</v>
      </c>
    </row>
    <row r="12" spans="1:56" x14ac:dyDescent="0.25">
      <c r="A12" s="17" t="s">
        <v>23</v>
      </c>
      <c r="B12" s="34">
        <v>3</v>
      </c>
      <c r="C12" s="34">
        <v>1</v>
      </c>
      <c r="D12" s="27">
        <v>0.33333333333333331</v>
      </c>
      <c r="E12" s="34">
        <v>3</v>
      </c>
      <c r="F12" s="34">
        <v>3</v>
      </c>
      <c r="G12" s="27">
        <v>1</v>
      </c>
      <c r="H12" s="34">
        <v>4</v>
      </c>
      <c r="I12" s="34">
        <v>4</v>
      </c>
      <c r="J12" s="27">
        <v>1</v>
      </c>
      <c r="K12" s="95">
        <v>4</v>
      </c>
      <c r="L12" s="95">
        <v>4</v>
      </c>
      <c r="M12" s="27">
        <v>1</v>
      </c>
      <c r="N12" s="95">
        <v>5</v>
      </c>
      <c r="O12" s="95">
        <v>5</v>
      </c>
      <c r="P12" s="27">
        <v>1</v>
      </c>
      <c r="Q12" s="132">
        <v>6</v>
      </c>
      <c r="R12" s="132">
        <v>5</v>
      </c>
      <c r="S12" s="104">
        <f t="shared" si="0"/>
        <v>0.83333333333333337</v>
      </c>
      <c r="T12" s="17"/>
      <c r="U12" s="46">
        <v>3585</v>
      </c>
      <c r="V12" s="36">
        <v>569792.73</v>
      </c>
      <c r="W12" s="46">
        <v>58</v>
      </c>
      <c r="X12" s="36">
        <v>23108</v>
      </c>
      <c r="Y12" s="46">
        <v>4093</v>
      </c>
      <c r="Z12" s="36">
        <v>716645.3</v>
      </c>
      <c r="AA12" s="46">
        <v>10</v>
      </c>
      <c r="AB12" s="36">
        <v>1437.55</v>
      </c>
      <c r="AC12" s="134">
        <v>3909</v>
      </c>
      <c r="AD12" s="36">
        <v>804405.98</v>
      </c>
      <c r="AE12" s="134">
        <v>16</v>
      </c>
      <c r="AF12" s="36">
        <v>31751</v>
      </c>
      <c r="AG12" s="36">
        <v>3760</v>
      </c>
      <c r="AH12" s="36">
        <v>893948.15000000014</v>
      </c>
      <c r="AI12" s="134">
        <v>12</v>
      </c>
      <c r="AJ12" s="36">
        <v>3900.01</v>
      </c>
      <c r="AK12" s="133">
        <v>3160</v>
      </c>
      <c r="AL12" s="115">
        <v>611206.32000000007</v>
      </c>
      <c r="AM12" s="133">
        <v>14</v>
      </c>
      <c r="AN12" s="115">
        <v>4175</v>
      </c>
      <c r="AO12" s="17"/>
      <c r="AP12" s="34">
        <v>5</v>
      </c>
      <c r="AQ12" s="34">
        <v>1</v>
      </c>
      <c r="AR12" s="27">
        <v>0.2</v>
      </c>
      <c r="AS12" s="34">
        <v>35</v>
      </c>
      <c r="AT12" s="34">
        <v>27</v>
      </c>
      <c r="AU12" s="27">
        <v>0.77142857142857146</v>
      </c>
      <c r="AV12" s="34">
        <v>33</v>
      </c>
      <c r="AW12" s="34">
        <v>20</v>
      </c>
      <c r="AX12" s="27">
        <v>0.60606060606060608</v>
      </c>
      <c r="AY12" s="132">
        <v>39</v>
      </c>
      <c r="AZ12" s="132">
        <v>26</v>
      </c>
      <c r="BA12" s="104">
        <f t="shared" si="1"/>
        <v>0.66666666666666663</v>
      </c>
      <c r="BB12" s="214" t="str">
        <f t="shared" si="2"/>
        <v>No</v>
      </c>
      <c r="BC12" s="293" t="s">
        <v>338</v>
      </c>
      <c r="BD12" s="294">
        <v>611206.32000000007</v>
      </c>
    </row>
    <row r="13" spans="1:56" x14ac:dyDescent="0.25">
      <c r="A13" s="17" t="s">
        <v>4</v>
      </c>
      <c r="B13" s="34">
        <v>19</v>
      </c>
      <c r="C13" s="34">
        <v>13</v>
      </c>
      <c r="D13" s="27">
        <v>0.68421052631578949</v>
      </c>
      <c r="E13" s="34">
        <v>19</v>
      </c>
      <c r="F13" s="34">
        <v>17</v>
      </c>
      <c r="G13" s="27">
        <v>0.89473684210526316</v>
      </c>
      <c r="H13" s="34">
        <v>17</v>
      </c>
      <c r="I13" s="34">
        <v>12</v>
      </c>
      <c r="J13" s="27">
        <v>0.70588235294117652</v>
      </c>
      <c r="K13" s="95">
        <v>18</v>
      </c>
      <c r="L13" s="95">
        <v>16</v>
      </c>
      <c r="M13" s="27">
        <v>0.88888888888888884</v>
      </c>
      <c r="N13" s="95">
        <v>19</v>
      </c>
      <c r="O13" s="95">
        <v>17</v>
      </c>
      <c r="P13" s="27">
        <v>0.89473684210526316</v>
      </c>
      <c r="Q13" s="132">
        <v>19</v>
      </c>
      <c r="R13" s="132">
        <v>16</v>
      </c>
      <c r="S13" s="104">
        <f t="shared" si="0"/>
        <v>0.84210526315789469</v>
      </c>
      <c r="T13" s="17"/>
      <c r="U13" s="46">
        <v>39188</v>
      </c>
      <c r="V13" s="36">
        <v>1062374.32</v>
      </c>
      <c r="W13" s="46">
        <v>143</v>
      </c>
      <c r="X13" s="36">
        <v>11419.119999999999</v>
      </c>
      <c r="Y13" s="46">
        <v>39142</v>
      </c>
      <c r="Z13" s="36">
        <v>1165001.5</v>
      </c>
      <c r="AA13" s="46">
        <v>130</v>
      </c>
      <c r="AB13" s="36">
        <v>9185</v>
      </c>
      <c r="AC13" s="134">
        <v>42779</v>
      </c>
      <c r="AD13" s="36">
        <v>1219616.6100000003</v>
      </c>
      <c r="AE13" s="134">
        <v>188</v>
      </c>
      <c r="AF13" s="36">
        <v>10043.09</v>
      </c>
      <c r="AG13" s="36">
        <v>47088</v>
      </c>
      <c r="AH13" s="36">
        <v>900988.14999999991</v>
      </c>
      <c r="AI13" s="134">
        <v>117</v>
      </c>
      <c r="AJ13" s="36">
        <v>4493.58</v>
      </c>
      <c r="AK13" s="133">
        <v>58755</v>
      </c>
      <c r="AL13" s="115">
        <v>1031949.3200000001</v>
      </c>
      <c r="AM13" s="133">
        <v>272</v>
      </c>
      <c r="AN13" s="115">
        <v>8505.5400000000009</v>
      </c>
      <c r="AO13" s="17"/>
      <c r="AP13" s="34">
        <v>26</v>
      </c>
      <c r="AQ13" s="34">
        <v>19</v>
      </c>
      <c r="AR13" s="27">
        <v>0.73076923076923073</v>
      </c>
      <c r="AS13" s="34">
        <v>29</v>
      </c>
      <c r="AT13" s="34">
        <v>23</v>
      </c>
      <c r="AU13" s="27">
        <v>0.7931034482758621</v>
      </c>
      <c r="AV13" s="34">
        <v>33</v>
      </c>
      <c r="AW13" s="34">
        <v>28</v>
      </c>
      <c r="AX13" s="27">
        <v>0.84848484848484851</v>
      </c>
      <c r="AY13" s="132">
        <v>47</v>
      </c>
      <c r="AZ13" s="132">
        <v>38</v>
      </c>
      <c r="BA13" s="104">
        <f t="shared" si="1"/>
        <v>0.80851063829787229</v>
      </c>
      <c r="BB13" s="214" t="str">
        <f t="shared" si="2"/>
        <v>OK</v>
      </c>
      <c r="BC13" s="293" t="s">
        <v>4</v>
      </c>
      <c r="BD13" s="294">
        <v>1031949.3200000001</v>
      </c>
    </row>
    <row r="14" spans="1:56" x14ac:dyDescent="0.25">
      <c r="A14" s="17" t="s">
        <v>28</v>
      </c>
      <c r="B14" s="34">
        <v>9</v>
      </c>
      <c r="C14" s="34">
        <v>3</v>
      </c>
      <c r="D14" s="27">
        <v>0.33333333333333331</v>
      </c>
      <c r="E14" s="34">
        <v>10</v>
      </c>
      <c r="F14" s="34">
        <v>5</v>
      </c>
      <c r="G14" s="27">
        <v>0.5</v>
      </c>
      <c r="H14" s="34">
        <v>11</v>
      </c>
      <c r="I14" s="34">
        <v>7</v>
      </c>
      <c r="J14" s="27">
        <v>0.63636363636363635</v>
      </c>
      <c r="K14" s="95">
        <v>11</v>
      </c>
      <c r="L14" s="95">
        <v>9</v>
      </c>
      <c r="M14" s="27">
        <v>0.81818181818181823</v>
      </c>
      <c r="N14" s="95">
        <v>13</v>
      </c>
      <c r="O14" s="95">
        <v>4</v>
      </c>
      <c r="P14" s="27">
        <v>0.30769230769230771</v>
      </c>
      <c r="Q14" s="132">
        <v>8</v>
      </c>
      <c r="R14" s="132">
        <v>5</v>
      </c>
      <c r="S14" s="104">
        <f t="shared" si="0"/>
        <v>0.625</v>
      </c>
      <c r="T14" s="17"/>
      <c r="U14" s="46">
        <v>468463</v>
      </c>
      <c r="V14" s="36">
        <v>3192048.4300000006</v>
      </c>
      <c r="W14" s="46">
        <v>41</v>
      </c>
      <c r="X14" s="36">
        <v>9047.5499999999993</v>
      </c>
      <c r="Y14" s="46">
        <v>490483</v>
      </c>
      <c r="Z14" s="36">
        <v>3380434.2700000005</v>
      </c>
      <c r="AA14" s="46">
        <v>65</v>
      </c>
      <c r="AB14" s="36">
        <v>2321.73</v>
      </c>
      <c r="AC14" s="134">
        <v>497417</v>
      </c>
      <c r="AD14" s="36">
        <v>3537747.1099999994</v>
      </c>
      <c r="AE14" s="134">
        <v>60</v>
      </c>
      <c r="AF14" s="36">
        <v>1798.59</v>
      </c>
      <c r="AG14" s="36">
        <v>464852</v>
      </c>
      <c r="AH14" s="36">
        <v>3447884.7000000007</v>
      </c>
      <c r="AI14" s="134">
        <v>53</v>
      </c>
      <c r="AJ14" s="36">
        <v>998.85</v>
      </c>
      <c r="AK14" s="133">
        <v>507681</v>
      </c>
      <c r="AL14" s="115">
        <v>3732393.23</v>
      </c>
      <c r="AM14" s="133">
        <v>329</v>
      </c>
      <c r="AN14" s="115">
        <v>3954.8599999999997</v>
      </c>
      <c r="AO14" s="17"/>
      <c r="AP14" s="34">
        <v>9</v>
      </c>
      <c r="AQ14" s="34">
        <v>6</v>
      </c>
      <c r="AR14" s="27">
        <v>0.66666666666666663</v>
      </c>
      <c r="AS14" s="34">
        <v>13</v>
      </c>
      <c r="AT14" s="34">
        <v>10</v>
      </c>
      <c r="AU14" s="27">
        <v>0.76923076923076927</v>
      </c>
      <c r="AV14" s="34">
        <v>14</v>
      </c>
      <c r="AW14" s="34">
        <v>10</v>
      </c>
      <c r="AX14" s="27">
        <v>0.7142857142857143</v>
      </c>
      <c r="AY14" s="132">
        <v>14</v>
      </c>
      <c r="AZ14" s="132">
        <v>11</v>
      </c>
      <c r="BA14" s="104">
        <f t="shared" si="1"/>
        <v>0.7857142857142857</v>
      </c>
      <c r="BB14" s="214" t="str">
        <f t="shared" si="2"/>
        <v>OK</v>
      </c>
      <c r="BC14" s="293" t="s">
        <v>28</v>
      </c>
      <c r="BD14" s="294">
        <v>3732393.23</v>
      </c>
    </row>
    <row r="15" spans="1:56" x14ac:dyDescent="0.25">
      <c r="A15" s="17" t="s">
        <v>29</v>
      </c>
      <c r="B15" s="34">
        <v>4</v>
      </c>
      <c r="C15" s="34">
        <v>3</v>
      </c>
      <c r="D15" s="27">
        <v>0.75</v>
      </c>
      <c r="E15" s="34">
        <v>6</v>
      </c>
      <c r="F15" s="34">
        <v>6</v>
      </c>
      <c r="G15" s="27">
        <v>1</v>
      </c>
      <c r="H15" s="34">
        <v>7</v>
      </c>
      <c r="I15" s="34">
        <v>7</v>
      </c>
      <c r="J15" s="27">
        <v>1</v>
      </c>
      <c r="K15" s="95">
        <v>7</v>
      </c>
      <c r="L15" s="95">
        <v>6</v>
      </c>
      <c r="M15" s="27">
        <v>0.8571428571428571</v>
      </c>
      <c r="N15" s="95">
        <v>7</v>
      </c>
      <c r="O15" s="95">
        <v>6</v>
      </c>
      <c r="P15" s="27">
        <v>0.8571428571428571</v>
      </c>
      <c r="Q15" s="132">
        <v>12</v>
      </c>
      <c r="R15" s="132">
        <v>12</v>
      </c>
      <c r="S15" s="104">
        <f t="shared" si="0"/>
        <v>1</v>
      </c>
      <c r="T15" s="17"/>
      <c r="U15" s="46">
        <v>17752</v>
      </c>
      <c r="V15" s="36">
        <v>7799497.6099999994</v>
      </c>
      <c r="W15" s="46">
        <v>14</v>
      </c>
      <c r="X15" s="36">
        <v>4457.0499999999993</v>
      </c>
      <c r="Y15" s="46">
        <v>18912</v>
      </c>
      <c r="Z15" s="36">
        <v>8077734.9300000006</v>
      </c>
      <c r="AA15" s="46">
        <v>11</v>
      </c>
      <c r="AB15" s="36">
        <v>6773.5</v>
      </c>
      <c r="AC15" s="134">
        <v>19969</v>
      </c>
      <c r="AD15" s="36">
        <v>8357746.3600000003</v>
      </c>
      <c r="AE15" s="134">
        <v>6</v>
      </c>
      <c r="AF15" s="36">
        <v>3993.97</v>
      </c>
      <c r="AG15" s="36">
        <v>22588</v>
      </c>
      <c r="AH15" s="36">
        <v>8960100.0599999987</v>
      </c>
      <c r="AI15" s="134">
        <v>8</v>
      </c>
      <c r="AJ15" s="36">
        <v>1525.79</v>
      </c>
      <c r="AK15" s="133">
        <v>23224</v>
      </c>
      <c r="AL15" s="115">
        <v>10227923.02</v>
      </c>
      <c r="AM15" s="133">
        <v>12</v>
      </c>
      <c r="AN15" s="115">
        <v>1598.01</v>
      </c>
      <c r="AO15" s="17"/>
      <c r="AP15" s="34">
        <v>6</v>
      </c>
      <c r="AQ15" s="34">
        <v>4</v>
      </c>
      <c r="AR15" s="27">
        <v>0.66666666666666663</v>
      </c>
      <c r="AS15" s="34">
        <v>6</v>
      </c>
      <c r="AT15" s="34">
        <v>3</v>
      </c>
      <c r="AU15" s="27">
        <v>0.5</v>
      </c>
      <c r="AV15" s="34">
        <v>22</v>
      </c>
      <c r="AW15" s="34">
        <v>20</v>
      </c>
      <c r="AX15" s="27">
        <v>0.90909090909090906</v>
      </c>
      <c r="AY15" s="132">
        <v>25</v>
      </c>
      <c r="AZ15" s="132">
        <v>22</v>
      </c>
      <c r="BA15" s="104">
        <f t="shared" si="1"/>
        <v>0.88</v>
      </c>
      <c r="BB15" s="214" t="str">
        <f t="shared" si="2"/>
        <v>OK</v>
      </c>
      <c r="BC15" s="293" t="s">
        <v>29</v>
      </c>
      <c r="BD15" s="294">
        <v>10227923.02</v>
      </c>
    </row>
    <row r="16" spans="1:56" x14ac:dyDescent="0.25">
      <c r="A16" s="17" t="s">
        <v>5</v>
      </c>
      <c r="B16" s="34"/>
      <c r="C16" s="34"/>
      <c r="D16" s="27"/>
      <c r="E16" s="34"/>
      <c r="F16" s="34"/>
      <c r="G16" s="27"/>
      <c r="H16" s="34"/>
      <c r="I16" s="34"/>
      <c r="J16" s="27"/>
      <c r="K16" s="95"/>
      <c r="L16" s="95"/>
      <c r="M16" s="27"/>
      <c r="N16" s="95"/>
      <c r="O16" s="95"/>
      <c r="P16" s="27"/>
      <c r="Q16" s="132" t="s">
        <v>334</v>
      </c>
      <c r="R16" s="132" t="s">
        <v>334</v>
      </c>
      <c r="S16" s="104"/>
      <c r="T16" s="17"/>
      <c r="U16" s="46"/>
      <c r="V16" s="36"/>
      <c r="W16" s="46"/>
      <c r="X16" s="36"/>
      <c r="Y16" s="46"/>
      <c r="Z16" s="36"/>
      <c r="AA16" s="46"/>
      <c r="AB16" s="36"/>
      <c r="AC16" s="134"/>
      <c r="AD16" s="36"/>
      <c r="AE16" s="134"/>
      <c r="AF16" s="36"/>
      <c r="AG16" s="36"/>
      <c r="AH16" s="36"/>
      <c r="AI16" s="134"/>
      <c r="AJ16" s="36"/>
      <c r="AK16" s="133"/>
      <c r="AL16" s="115"/>
      <c r="AM16" s="133"/>
      <c r="AN16" s="115"/>
      <c r="AO16" s="17"/>
      <c r="AP16" s="34"/>
      <c r="AQ16" s="34"/>
      <c r="AR16" s="27"/>
      <c r="AS16" s="34"/>
      <c r="AT16" s="34"/>
      <c r="AU16" s="27"/>
      <c r="AV16" s="34"/>
      <c r="AW16" s="34"/>
      <c r="AX16" s="27"/>
      <c r="AY16" s="132"/>
      <c r="AZ16" s="132"/>
      <c r="BA16" s="104"/>
      <c r="BB16" s="214" t="str">
        <f t="shared" si="2"/>
        <v>No</v>
      </c>
      <c r="BC16" s="293"/>
      <c r="BD16" s="294"/>
    </row>
    <row r="17" spans="1:56" x14ac:dyDescent="0.25">
      <c r="A17" s="17" t="s">
        <v>22</v>
      </c>
      <c r="B17" s="34">
        <v>57</v>
      </c>
      <c r="C17" s="34">
        <v>38</v>
      </c>
      <c r="D17" s="27">
        <v>0.66666666666666663</v>
      </c>
      <c r="E17" s="34">
        <v>61</v>
      </c>
      <c r="F17" s="34">
        <v>47</v>
      </c>
      <c r="G17" s="27">
        <v>0.77049180327868849</v>
      </c>
      <c r="H17" s="34">
        <v>63</v>
      </c>
      <c r="I17" s="34">
        <v>46</v>
      </c>
      <c r="J17" s="27">
        <v>0.73015873015873012</v>
      </c>
      <c r="K17" s="95">
        <v>61</v>
      </c>
      <c r="L17" s="95">
        <v>49</v>
      </c>
      <c r="M17" s="27">
        <v>0.80327868852459017</v>
      </c>
      <c r="N17" s="95">
        <v>67</v>
      </c>
      <c r="O17" s="95">
        <v>50</v>
      </c>
      <c r="P17" s="27">
        <v>0.74626865671641796</v>
      </c>
      <c r="Q17" s="132">
        <v>66</v>
      </c>
      <c r="R17" s="132">
        <v>58</v>
      </c>
      <c r="S17" s="104">
        <f t="shared" si="0"/>
        <v>0.87878787878787878</v>
      </c>
      <c r="T17" s="17"/>
      <c r="U17" s="46">
        <v>361234</v>
      </c>
      <c r="V17" s="36">
        <v>49665565.57</v>
      </c>
      <c r="W17" s="46">
        <v>1362</v>
      </c>
      <c r="X17" s="36">
        <v>253322.28</v>
      </c>
      <c r="Y17" s="46">
        <v>441942</v>
      </c>
      <c r="Z17" s="36">
        <v>61784487.039999999</v>
      </c>
      <c r="AA17" s="46">
        <v>1151</v>
      </c>
      <c r="AB17" s="36">
        <v>379844.18</v>
      </c>
      <c r="AC17" s="134">
        <v>487444</v>
      </c>
      <c r="AD17" s="36">
        <v>67867182.479999989</v>
      </c>
      <c r="AE17" s="134">
        <v>1065</v>
      </c>
      <c r="AF17" s="36">
        <v>197786.17999999996</v>
      </c>
      <c r="AG17" s="36">
        <v>549410</v>
      </c>
      <c r="AH17" s="36">
        <v>81929462.229999989</v>
      </c>
      <c r="AI17" s="134">
        <v>985</v>
      </c>
      <c r="AJ17" s="36">
        <v>201869.21999999994</v>
      </c>
      <c r="AK17" s="133">
        <v>621900</v>
      </c>
      <c r="AL17" s="115">
        <v>106914726.10000001</v>
      </c>
      <c r="AM17" s="133">
        <v>1266</v>
      </c>
      <c r="AN17" s="115">
        <v>297560.11000000004</v>
      </c>
      <c r="AO17" s="17"/>
      <c r="AP17" s="34">
        <v>330</v>
      </c>
      <c r="AQ17" s="34">
        <v>198</v>
      </c>
      <c r="AR17" s="27">
        <v>0.6</v>
      </c>
      <c r="AS17" s="34">
        <v>345</v>
      </c>
      <c r="AT17" s="34">
        <v>257</v>
      </c>
      <c r="AU17" s="27">
        <v>0.74492753623188401</v>
      </c>
      <c r="AV17" s="34">
        <v>299</v>
      </c>
      <c r="AW17" s="34">
        <v>206</v>
      </c>
      <c r="AX17" s="27">
        <v>0.68896321070234112</v>
      </c>
      <c r="AY17" s="132">
        <v>295</v>
      </c>
      <c r="AZ17" s="132">
        <v>199</v>
      </c>
      <c r="BA17" s="104">
        <f t="shared" si="1"/>
        <v>0.6745762711864407</v>
      </c>
      <c r="BB17" s="214" t="str">
        <f t="shared" si="2"/>
        <v>No</v>
      </c>
      <c r="BC17" s="293" t="s">
        <v>376</v>
      </c>
      <c r="BD17" s="294">
        <v>106914726.10000001</v>
      </c>
    </row>
    <row r="18" spans="1:56" x14ac:dyDescent="0.25">
      <c r="A18" s="17" t="s">
        <v>7</v>
      </c>
      <c r="B18" s="34">
        <v>2</v>
      </c>
      <c r="C18" s="34">
        <v>2</v>
      </c>
      <c r="D18" s="27">
        <v>1</v>
      </c>
      <c r="E18" s="34">
        <v>2</v>
      </c>
      <c r="F18" s="34">
        <v>1</v>
      </c>
      <c r="G18" s="27">
        <v>0.5</v>
      </c>
      <c r="H18" s="34">
        <v>2</v>
      </c>
      <c r="I18" s="34">
        <v>1</v>
      </c>
      <c r="J18" s="27">
        <v>0.5</v>
      </c>
      <c r="K18" s="95">
        <v>2</v>
      </c>
      <c r="L18" s="95">
        <v>1</v>
      </c>
      <c r="M18" s="27">
        <v>0.5</v>
      </c>
      <c r="N18" s="95">
        <v>3</v>
      </c>
      <c r="O18" s="95">
        <v>1</v>
      </c>
      <c r="P18" s="27">
        <v>0.33333333333333331</v>
      </c>
      <c r="Q18" s="132">
        <v>3</v>
      </c>
      <c r="R18" s="132">
        <v>3</v>
      </c>
      <c r="S18" s="104">
        <f t="shared" si="0"/>
        <v>1</v>
      </c>
      <c r="T18" s="17"/>
      <c r="U18" s="46">
        <v>1756</v>
      </c>
      <c r="V18" s="36">
        <v>1872848.38</v>
      </c>
      <c r="W18" s="46">
        <v>119</v>
      </c>
      <c r="X18" s="36">
        <v>153015.32</v>
      </c>
      <c r="Y18" s="46">
        <v>2010</v>
      </c>
      <c r="Z18" s="36">
        <v>2084493.79</v>
      </c>
      <c r="AA18" s="46">
        <v>177</v>
      </c>
      <c r="AB18" s="36">
        <v>130661.46</v>
      </c>
      <c r="AC18" s="134">
        <v>1618</v>
      </c>
      <c r="AD18" s="36">
        <v>1798840.54</v>
      </c>
      <c r="AE18" s="134">
        <v>120</v>
      </c>
      <c r="AF18" s="36">
        <v>141723</v>
      </c>
      <c r="AG18" s="36">
        <v>1349</v>
      </c>
      <c r="AH18" s="36">
        <v>1472491.53</v>
      </c>
      <c r="AI18" s="134">
        <v>97</v>
      </c>
      <c r="AJ18" s="36">
        <v>127892.01</v>
      </c>
      <c r="AK18" s="133">
        <v>1319</v>
      </c>
      <c r="AL18" s="115">
        <v>1456415.64</v>
      </c>
      <c r="AM18" s="133">
        <v>90</v>
      </c>
      <c r="AN18" s="115">
        <v>94659.45</v>
      </c>
      <c r="AO18" s="17"/>
      <c r="AP18" s="34">
        <v>17</v>
      </c>
      <c r="AQ18" s="34">
        <v>1</v>
      </c>
      <c r="AR18" s="27">
        <v>5.8823529411764705E-2</v>
      </c>
      <c r="AS18" s="34">
        <v>16</v>
      </c>
      <c r="AT18" s="34">
        <v>6</v>
      </c>
      <c r="AU18" s="27">
        <v>0.375</v>
      </c>
      <c r="AV18" s="34">
        <v>21</v>
      </c>
      <c r="AW18" s="34">
        <v>8</v>
      </c>
      <c r="AX18" s="27">
        <v>0.38095238095238093</v>
      </c>
      <c r="AY18" s="132">
        <v>22</v>
      </c>
      <c r="AZ18" s="132">
        <v>10</v>
      </c>
      <c r="BA18" s="104">
        <f t="shared" si="1"/>
        <v>0.45454545454545453</v>
      </c>
      <c r="BB18" s="214" t="str">
        <f t="shared" si="2"/>
        <v>OK</v>
      </c>
      <c r="BC18" s="293" t="s">
        <v>7</v>
      </c>
      <c r="BD18" s="294">
        <v>1456415.64</v>
      </c>
    </row>
    <row r="19" spans="1:56" x14ac:dyDescent="0.25">
      <c r="A19" s="17" t="s">
        <v>6</v>
      </c>
      <c r="B19" s="34">
        <v>1</v>
      </c>
      <c r="C19" s="34">
        <v>0</v>
      </c>
      <c r="D19" s="27">
        <v>0</v>
      </c>
      <c r="E19" s="34">
        <v>1</v>
      </c>
      <c r="F19" s="34">
        <v>1</v>
      </c>
      <c r="G19" s="27">
        <v>1</v>
      </c>
      <c r="H19" s="34">
        <v>1</v>
      </c>
      <c r="I19" s="34">
        <v>1</v>
      </c>
      <c r="J19" s="27">
        <v>1</v>
      </c>
      <c r="K19" s="95">
        <v>1</v>
      </c>
      <c r="L19" s="95">
        <v>1</v>
      </c>
      <c r="M19" s="27">
        <v>1</v>
      </c>
      <c r="N19" s="95">
        <v>1</v>
      </c>
      <c r="O19" s="95">
        <v>1</v>
      </c>
      <c r="P19" s="27">
        <v>1</v>
      </c>
      <c r="Q19" s="132">
        <v>1</v>
      </c>
      <c r="R19" s="132">
        <v>1</v>
      </c>
      <c r="S19" s="104">
        <f t="shared" si="0"/>
        <v>1</v>
      </c>
      <c r="T19" s="17"/>
      <c r="U19" s="46">
        <v>28080</v>
      </c>
      <c r="V19" s="36">
        <v>3965825.75</v>
      </c>
      <c r="W19" s="46">
        <v>314</v>
      </c>
      <c r="X19" s="36">
        <v>66269.259999999995</v>
      </c>
      <c r="Y19" s="46">
        <v>29617</v>
      </c>
      <c r="Z19" s="36">
        <v>4136142.4</v>
      </c>
      <c r="AA19" s="46">
        <v>311</v>
      </c>
      <c r="AB19" s="36">
        <v>72079.45</v>
      </c>
      <c r="AC19" s="134">
        <v>30544</v>
      </c>
      <c r="AD19" s="36">
        <v>4217166.84</v>
      </c>
      <c r="AE19" s="134">
        <v>372</v>
      </c>
      <c r="AF19" s="36">
        <v>89603.69</v>
      </c>
      <c r="AG19" s="36">
        <v>32608</v>
      </c>
      <c r="AH19" s="36">
        <v>4561639.74</v>
      </c>
      <c r="AI19" s="134">
        <v>324</v>
      </c>
      <c r="AJ19" s="36">
        <v>79735.929999999993</v>
      </c>
      <c r="AK19" s="133">
        <v>33212</v>
      </c>
      <c r="AL19" s="115">
        <v>4650297.5999999996</v>
      </c>
      <c r="AM19" s="133">
        <v>213</v>
      </c>
      <c r="AN19" s="115">
        <v>54360.82</v>
      </c>
      <c r="AO19" s="17"/>
      <c r="AP19" s="34">
        <v>10</v>
      </c>
      <c r="AQ19" s="34">
        <v>8</v>
      </c>
      <c r="AR19" s="27">
        <v>0.8</v>
      </c>
      <c r="AS19" s="34">
        <v>7</v>
      </c>
      <c r="AT19" s="34">
        <v>4</v>
      </c>
      <c r="AU19" s="27">
        <v>0.5714285714285714</v>
      </c>
      <c r="AV19" s="34">
        <v>8</v>
      </c>
      <c r="AW19" s="34">
        <v>8</v>
      </c>
      <c r="AX19" s="27">
        <v>1</v>
      </c>
      <c r="AY19" s="132">
        <v>9</v>
      </c>
      <c r="AZ19" s="132">
        <v>9</v>
      </c>
      <c r="BA19" s="104">
        <f t="shared" si="1"/>
        <v>1</v>
      </c>
      <c r="BB19" s="214" t="str">
        <f t="shared" si="2"/>
        <v>OK</v>
      </c>
      <c r="BC19" s="293" t="s">
        <v>6</v>
      </c>
      <c r="BD19" s="294">
        <v>4650297.5999999996</v>
      </c>
    </row>
    <row r="20" spans="1:56" x14ac:dyDescent="0.25">
      <c r="A20" s="17" t="s">
        <v>30</v>
      </c>
      <c r="B20" s="34"/>
      <c r="C20" s="34"/>
      <c r="D20" s="27"/>
      <c r="E20" s="34"/>
      <c r="F20" s="34"/>
      <c r="G20" s="27"/>
      <c r="H20" s="34"/>
      <c r="I20" s="34"/>
      <c r="J20" s="27"/>
      <c r="K20" s="95"/>
      <c r="L20" s="95"/>
      <c r="M20" s="27"/>
      <c r="N20" s="95"/>
      <c r="O20" s="95"/>
      <c r="P20" s="27"/>
      <c r="Q20" s="132" t="s">
        <v>334</v>
      </c>
      <c r="R20" s="132" t="s">
        <v>334</v>
      </c>
      <c r="S20" s="104"/>
      <c r="T20" s="17"/>
      <c r="U20" s="46"/>
      <c r="V20" s="36"/>
      <c r="W20" s="46"/>
      <c r="X20" s="36"/>
      <c r="Y20" s="46"/>
      <c r="Z20" s="36"/>
      <c r="AA20" s="46"/>
      <c r="AB20" s="36"/>
      <c r="AC20" s="134"/>
      <c r="AD20" s="36"/>
      <c r="AE20" s="134"/>
      <c r="AF20" s="36"/>
      <c r="AG20" s="36"/>
      <c r="AH20" s="36"/>
      <c r="AI20" s="134"/>
      <c r="AJ20" s="36"/>
      <c r="AK20" s="133"/>
      <c r="AL20" s="115"/>
      <c r="AM20" s="133"/>
      <c r="AN20" s="115"/>
      <c r="AO20" s="17"/>
      <c r="AP20" s="34"/>
      <c r="AQ20" s="34"/>
      <c r="AR20" s="27"/>
      <c r="AS20" s="34"/>
      <c r="AT20" s="34"/>
      <c r="AU20" s="27"/>
      <c r="AV20" s="34"/>
      <c r="AW20" s="34"/>
      <c r="AX20" s="27"/>
      <c r="AY20" s="132"/>
      <c r="AZ20" s="132"/>
      <c r="BA20" s="104"/>
      <c r="BB20" s="214" t="str">
        <f t="shared" si="2"/>
        <v>No</v>
      </c>
      <c r="BC20" s="293"/>
      <c r="BD20" s="294"/>
    </row>
    <row r="21" spans="1:56" x14ac:dyDescent="0.25">
      <c r="A21" s="17" t="s">
        <v>8</v>
      </c>
      <c r="B21" s="34">
        <v>6</v>
      </c>
      <c r="C21" s="34">
        <v>3</v>
      </c>
      <c r="D21" s="27">
        <v>0.5</v>
      </c>
      <c r="E21" s="34">
        <v>7</v>
      </c>
      <c r="F21" s="34">
        <v>6</v>
      </c>
      <c r="G21" s="27">
        <v>0.8571428571428571</v>
      </c>
      <c r="H21" s="34">
        <v>8</v>
      </c>
      <c r="I21" s="34">
        <v>5</v>
      </c>
      <c r="J21" s="27">
        <v>0.625</v>
      </c>
      <c r="K21" s="95">
        <v>8</v>
      </c>
      <c r="L21" s="95">
        <v>6</v>
      </c>
      <c r="M21" s="27">
        <v>0.75</v>
      </c>
      <c r="N21" s="95">
        <v>8</v>
      </c>
      <c r="O21" s="95">
        <v>6</v>
      </c>
      <c r="P21" s="27">
        <v>0.75</v>
      </c>
      <c r="Q21" s="132">
        <v>9</v>
      </c>
      <c r="R21" s="132">
        <v>8</v>
      </c>
      <c r="S21" s="104">
        <f t="shared" si="0"/>
        <v>0.88888888888888884</v>
      </c>
      <c r="T21" s="17"/>
      <c r="U21" s="46">
        <v>1563</v>
      </c>
      <c r="V21" s="36">
        <v>385222.3</v>
      </c>
      <c r="W21" s="46">
        <v>127</v>
      </c>
      <c r="X21" s="36">
        <v>17986</v>
      </c>
      <c r="Y21" s="46">
        <v>1842</v>
      </c>
      <c r="Z21" s="36">
        <v>425383.5</v>
      </c>
      <c r="AA21" s="46">
        <v>56</v>
      </c>
      <c r="AB21" s="36">
        <v>7370</v>
      </c>
      <c r="AC21" s="134">
        <v>2094</v>
      </c>
      <c r="AD21" s="36">
        <v>469326.44</v>
      </c>
      <c r="AE21" s="134">
        <v>85</v>
      </c>
      <c r="AF21" s="36">
        <v>8809.3700000000008</v>
      </c>
      <c r="AG21" s="36">
        <v>2121</v>
      </c>
      <c r="AH21" s="36">
        <v>483179.62</v>
      </c>
      <c r="AI21" s="134">
        <v>64</v>
      </c>
      <c r="AJ21" s="36">
        <v>6403.22</v>
      </c>
      <c r="AK21" s="133">
        <v>2009</v>
      </c>
      <c r="AL21" s="115">
        <v>453994.03</v>
      </c>
      <c r="AM21" s="133">
        <v>51</v>
      </c>
      <c r="AN21" s="115">
        <v>10155.99</v>
      </c>
      <c r="AO21" s="17"/>
      <c r="AP21" s="34">
        <v>10</v>
      </c>
      <c r="AQ21" s="34">
        <v>6</v>
      </c>
      <c r="AR21" s="27">
        <v>0.6</v>
      </c>
      <c r="AS21" s="34">
        <v>13</v>
      </c>
      <c r="AT21" s="34">
        <v>5</v>
      </c>
      <c r="AU21" s="27">
        <v>0.38461538461538464</v>
      </c>
      <c r="AV21" s="34">
        <v>13</v>
      </c>
      <c r="AW21" s="34">
        <v>4</v>
      </c>
      <c r="AX21" s="27">
        <v>0.30769230769230771</v>
      </c>
      <c r="AY21" s="132">
        <v>12</v>
      </c>
      <c r="AZ21" s="132">
        <v>3</v>
      </c>
      <c r="BA21" s="104">
        <f t="shared" si="1"/>
        <v>0.25</v>
      </c>
      <c r="BB21" s="214" t="str">
        <f t="shared" si="2"/>
        <v>OK</v>
      </c>
      <c r="BC21" s="293" t="s">
        <v>8</v>
      </c>
      <c r="BD21" s="294">
        <v>453994.03</v>
      </c>
    </row>
    <row r="22" spans="1:56" x14ac:dyDescent="0.25">
      <c r="A22" s="17" t="s">
        <v>9</v>
      </c>
      <c r="B22" s="34"/>
      <c r="C22" s="34"/>
      <c r="D22" s="27"/>
      <c r="E22" s="34"/>
      <c r="F22" s="34"/>
      <c r="G22" s="27"/>
      <c r="H22" s="34"/>
      <c r="I22" s="34"/>
      <c r="J22" s="27"/>
      <c r="K22" s="95"/>
      <c r="L22" s="95"/>
      <c r="M22" s="27"/>
      <c r="N22" s="95"/>
      <c r="O22" s="95"/>
      <c r="P22" s="27"/>
      <c r="Q22" s="132" t="s">
        <v>334</v>
      </c>
      <c r="R22" s="132" t="s">
        <v>334</v>
      </c>
      <c r="S22" s="104"/>
      <c r="T22" s="17"/>
      <c r="U22" s="46"/>
      <c r="V22" s="36"/>
      <c r="W22" s="46"/>
      <c r="X22" s="36"/>
      <c r="Y22" s="46"/>
      <c r="Z22" s="36"/>
      <c r="AA22" s="46"/>
      <c r="AB22" s="36"/>
      <c r="AC22" s="134"/>
      <c r="AD22" s="36"/>
      <c r="AE22" s="134"/>
      <c r="AF22" s="36"/>
      <c r="AG22" s="36"/>
      <c r="AH22" s="36"/>
      <c r="AI22" s="134"/>
      <c r="AJ22" s="36"/>
      <c r="AK22" s="133"/>
      <c r="AL22" s="115"/>
      <c r="AM22" s="133"/>
      <c r="AN22" s="115"/>
      <c r="AO22" s="17"/>
      <c r="AP22" s="34"/>
      <c r="AQ22" s="34"/>
      <c r="AR22" s="27"/>
      <c r="AS22" s="34"/>
      <c r="AT22" s="34"/>
      <c r="AU22" s="27"/>
      <c r="AV22" s="34"/>
      <c r="AW22" s="34"/>
      <c r="AX22" s="27"/>
      <c r="AY22" s="132"/>
      <c r="AZ22" s="132"/>
      <c r="BA22" s="104"/>
      <c r="BB22" s="214" t="str">
        <f t="shared" si="2"/>
        <v>No</v>
      </c>
      <c r="BC22" s="293"/>
      <c r="BD22" s="294"/>
    </row>
    <row r="23" spans="1:56" x14ac:dyDescent="0.25">
      <c r="A23" s="17" t="s">
        <v>24</v>
      </c>
      <c r="B23" s="34">
        <v>145</v>
      </c>
      <c r="C23" s="34">
        <v>107</v>
      </c>
      <c r="D23" s="27">
        <v>0.73793103448275865</v>
      </c>
      <c r="E23" s="34">
        <v>138</v>
      </c>
      <c r="F23" s="34">
        <v>100</v>
      </c>
      <c r="G23" s="27">
        <v>0.72463768115942029</v>
      </c>
      <c r="H23" s="34">
        <v>143</v>
      </c>
      <c r="I23" s="34">
        <v>90</v>
      </c>
      <c r="J23" s="27">
        <v>0.62937062937062938</v>
      </c>
      <c r="K23" s="95">
        <v>142</v>
      </c>
      <c r="L23" s="95">
        <v>103</v>
      </c>
      <c r="M23" s="27">
        <v>0.72535211267605637</v>
      </c>
      <c r="N23" s="95">
        <v>138</v>
      </c>
      <c r="O23" s="95">
        <v>104</v>
      </c>
      <c r="P23" s="27">
        <v>0.75362318840579712</v>
      </c>
      <c r="Q23" s="132">
        <v>138</v>
      </c>
      <c r="R23" s="132">
        <v>102</v>
      </c>
      <c r="S23" s="104">
        <f t="shared" si="0"/>
        <v>0.73913043478260865</v>
      </c>
      <c r="T23" s="17"/>
      <c r="U23" s="46">
        <v>217325</v>
      </c>
      <c r="V23" s="36">
        <v>16832361.100000001</v>
      </c>
      <c r="W23" s="46">
        <v>384</v>
      </c>
      <c r="X23" s="36">
        <v>92018.78</v>
      </c>
      <c r="Y23" s="46">
        <v>223936</v>
      </c>
      <c r="Z23" s="36">
        <v>17789411.170000002</v>
      </c>
      <c r="AA23" s="46">
        <v>793</v>
      </c>
      <c r="AB23" s="36">
        <v>71806.740000000005</v>
      </c>
      <c r="AC23" s="134">
        <v>246928</v>
      </c>
      <c r="AD23" s="36">
        <v>18352164.690000005</v>
      </c>
      <c r="AE23" s="134">
        <v>463</v>
      </c>
      <c r="AF23" s="36">
        <v>91854.35</v>
      </c>
      <c r="AG23" s="36">
        <v>259253</v>
      </c>
      <c r="AH23" s="36">
        <v>19729707.079999994</v>
      </c>
      <c r="AI23" s="134">
        <v>1088</v>
      </c>
      <c r="AJ23" s="36">
        <v>155363.74</v>
      </c>
      <c r="AK23" s="133">
        <v>280036</v>
      </c>
      <c r="AL23" s="115">
        <v>20853167.739999995</v>
      </c>
      <c r="AM23" s="133">
        <v>665</v>
      </c>
      <c r="AN23" s="115">
        <v>150114.78</v>
      </c>
      <c r="AO23" s="17"/>
      <c r="AP23" s="34">
        <v>371</v>
      </c>
      <c r="AQ23" s="34">
        <v>162</v>
      </c>
      <c r="AR23" s="27">
        <v>0.43665768194070081</v>
      </c>
      <c r="AS23" s="34">
        <v>396</v>
      </c>
      <c r="AT23" s="34">
        <v>215</v>
      </c>
      <c r="AU23" s="27">
        <v>0.54292929292929293</v>
      </c>
      <c r="AV23" s="34">
        <v>425</v>
      </c>
      <c r="AW23" s="34">
        <v>214</v>
      </c>
      <c r="AX23" s="27">
        <v>0.50352941176470589</v>
      </c>
      <c r="AY23" s="132">
        <v>440</v>
      </c>
      <c r="AZ23" s="132">
        <v>250</v>
      </c>
      <c r="BA23" s="104">
        <f t="shared" si="1"/>
        <v>0.56818181818181823</v>
      </c>
      <c r="BB23" s="214" t="str">
        <f t="shared" si="2"/>
        <v>OK</v>
      </c>
      <c r="BC23" s="293" t="s">
        <v>24</v>
      </c>
      <c r="BD23" s="294">
        <v>20853167.739999995</v>
      </c>
    </row>
    <row r="24" spans="1:56" x14ac:dyDescent="0.25">
      <c r="A24" s="17" t="s">
        <v>25</v>
      </c>
      <c r="B24" s="34"/>
      <c r="C24" s="34"/>
      <c r="D24" s="27"/>
      <c r="E24" s="34"/>
      <c r="F24" s="34"/>
      <c r="G24" s="27"/>
      <c r="H24" s="34"/>
      <c r="I24" s="34"/>
      <c r="J24" s="27"/>
      <c r="K24" s="95"/>
      <c r="L24" s="95"/>
      <c r="M24" s="27"/>
      <c r="N24" s="95"/>
      <c r="O24" s="95"/>
      <c r="P24" s="27"/>
      <c r="Q24" s="132" t="s">
        <v>334</v>
      </c>
      <c r="R24" s="132" t="s">
        <v>334</v>
      </c>
      <c r="S24" s="104"/>
      <c r="T24" s="17"/>
      <c r="U24" s="46"/>
      <c r="V24" s="36"/>
      <c r="W24" s="46"/>
      <c r="X24" s="36"/>
      <c r="Y24" s="46"/>
      <c r="Z24" s="36"/>
      <c r="AA24" s="46"/>
      <c r="AB24" s="36"/>
      <c r="AC24" s="134"/>
      <c r="AD24" s="36"/>
      <c r="AE24" s="134"/>
      <c r="AF24" s="36"/>
      <c r="AG24" s="36"/>
      <c r="AH24" s="36"/>
      <c r="AI24" s="134"/>
      <c r="AJ24" s="36"/>
      <c r="AK24" s="133"/>
      <c r="AL24" s="115"/>
      <c r="AM24" s="133"/>
      <c r="AN24" s="115"/>
      <c r="AO24" s="17"/>
      <c r="AP24" s="34"/>
      <c r="AQ24" s="34"/>
      <c r="AR24" s="27"/>
      <c r="AS24" s="34"/>
      <c r="AT24" s="34"/>
      <c r="AU24" s="27"/>
      <c r="AV24" s="34"/>
      <c r="AW24" s="34"/>
      <c r="AX24" s="27"/>
      <c r="AY24" s="132"/>
      <c r="AZ24" s="132"/>
      <c r="BA24" s="104"/>
      <c r="BB24" s="214" t="str">
        <f t="shared" si="2"/>
        <v>No</v>
      </c>
      <c r="BC24" s="293"/>
      <c r="BD24" s="294"/>
    </row>
    <row r="25" spans="1:56" x14ac:dyDescent="0.25">
      <c r="A25" s="17" t="s">
        <v>34</v>
      </c>
      <c r="B25" s="34">
        <v>2</v>
      </c>
      <c r="C25" s="34">
        <v>2</v>
      </c>
      <c r="D25" s="27">
        <v>1</v>
      </c>
      <c r="E25" s="34">
        <v>2</v>
      </c>
      <c r="F25" s="34">
        <v>2</v>
      </c>
      <c r="G25" s="27">
        <v>1</v>
      </c>
      <c r="H25" s="34">
        <v>2</v>
      </c>
      <c r="I25" s="34">
        <v>2</v>
      </c>
      <c r="J25" s="27">
        <v>1</v>
      </c>
      <c r="K25" s="95">
        <v>2</v>
      </c>
      <c r="L25" s="95">
        <v>1</v>
      </c>
      <c r="M25" s="27">
        <v>0.5</v>
      </c>
      <c r="N25" s="95">
        <v>2</v>
      </c>
      <c r="O25" s="95">
        <v>1</v>
      </c>
      <c r="P25" s="27">
        <v>0.5</v>
      </c>
      <c r="Q25" s="132">
        <v>2</v>
      </c>
      <c r="R25" s="132">
        <v>2</v>
      </c>
      <c r="S25" s="104">
        <f t="shared" si="0"/>
        <v>1</v>
      </c>
      <c r="T25" s="17"/>
      <c r="U25" s="46">
        <v>4331</v>
      </c>
      <c r="V25" s="36">
        <v>366310.12</v>
      </c>
      <c r="W25" s="46">
        <v>54</v>
      </c>
      <c r="X25" s="36">
        <v>4774.29</v>
      </c>
      <c r="Y25" s="46">
        <v>5681</v>
      </c>
      <c r="Z25" s="36">
        <v>434477.05000000005</v>
      </c>
      <c r="AA25" s="46">
        <v>57</v>
      </c>
      <c r="AB25" s="36">
        <v>6878.46</v>
      </c>
      <c r="AC25" s="134">
        <v>5109</v>
      </c>
      <c r="AD25" s="36">
        <v>357775.45999999996</v>
      </c>
      <c r="AE25" s="134">
        <v>52</v>
      </c>
      <c r="AF25" s="36">
        <v>4850</v>
      </c>
      <c r="AG25" s="36">
        <v>4493</v>
      </c>
      <c r="AH25" s="36">
        <v>349638.32999999996</v>
      </c>
      <c r="AI25" s="134">
        <v>71</v>
      </c>
      <c r="AJ25" s="36">
        <v>5873.75</v>
      </c>
      <c r="AK25" s="133">
        <v>5479</v>
      </c>
      <c r="AL25" s="115">
        <v>364040.3</v>
      </c>
      <c r="AM25" s="133">
        <v>99</v>
      </c>
      <c r="AN25" s="115">
        <v>5544.98</v>
      </c>
      <c r="AO25" s="17"/>
      <c r="AP25" s="34">
        <v>6</v>
      </c>
      <c r="AQ25" s="34">
        <v>4</v>
      </c>
      <c r="AR25" s="27">
        <v>0.66666666666666663</v>
      </c>
      <c r="AS25" s="34">
        <v>3</v>
      </c>
      <c r="AT25" s="34">
        <v>2</v>
      </c>
      <c r="AU25" s="27" t="s">
        <v>202</v>
      </c>
      <c r="AV25" s="34">
        <v>3</v>
      </c>
      <c r="AW25" s="34">
        <v>2</v>
      </c>
      <c r="AX25" s="27">
        <v>0.66666666666666663</v>
      </c>
      <c r="AY25" s="132">
        <v>3</v>
      </c>
      <c r="AZ25" s="132">
        <v>1</v>
      </c>
      <c r="BA25" s="104">
        <f t="shared" si="1"/>
        <v>0.33333333333333331</v>
      </c>
      <c r="BB25" s="214" t="str">
        <f t="shared" si="2"/>
        <v>OK</v>
      </c>
      <c r="BC25" s="293" t="s">
        <v>34</v>
      </c>
      <c r="BD25" s="294">
        <v>364040.3</v>
      </c>
    </row>
    <row r="26" spans="1:56" x14ac:dyDescent="0.25">
      <c r="A26" s="17" t="s">
        <v>10</v>
      </c>
      <c r="B26" s="34">
        <v>6</v>
      </c>
      <c r="C26" s="34">
        <v>5</v>
      </c>
      <c r="D26" s="27">
        <v>0.83333333333333337</v>
      </c>
      <c r="E26" s="34">
        <v>6</v>
      </c>
      <c r="F26" s="34">
        <v>4</v>
      </c>
      <c r="G26" s="27">
        <v>0.66666666666666663</v>
      </c>
      <c r="H26" s="34">
        <v>6</v>
      </c>
      <c r="I26" s="34">
        <v>6</v>
      </c>
      <c r="J26" s="27">
        <v>1</v>
      </c>
      <c r="K26" s="95">
        <v>6</v>
      </c>
      <c r="L26" s="95">
        <v>4</v>
      </c>
      <c r="M26" s="27">
        <v>0.66666666666666663</v>
      </c>
      <c r="N26" s="95">
        <v>4</v>
      </c>
      <c r="O26" s="95">
        <v>1</v>
      </c>
      <c r="P26" s="27">
        <v>0.25</v>
      </c>
      <c r="Q26" s="132">
        <v>3</v>
      </c>
      <c r="R26" s="132">
        <v>2</v>
      </c>
      <c r="S26" s="104">
        <f t="shared" si="0"/>
        <v>0.66666666666666663</v>
      </c>
      <c r="T26" s="17"/>
      <c r="U26" s="46">
        <v>9164</v>
      </c>
      <c r="V26" s="36">
        <v>889484.16</v>
      </c>
      <c r="W26" s="46">
        <v>24</v>
      </c>
      <c r="X26" s="36">
        <v>11613.5</v>
      </c>
      <c r="Y26" s="46">
        <v>8122</v>
      </c>
      <c r="Z26" s="36">
        <v>1011391.63</v>
      </c>
      <c r="AA26" s="46">
        <v>5</v>
      </c>
      <c r="AB26" s="36">
        <v>119</v>
      </c>
      <c r="AC26" s="134">
        <v>6573</v>
      </c>
      <c r="AD26" s="36">
        <v>743748.06</v>
      </c>
      <c r="AE26" s="134">
        <v>8</v>
      </c>
      <c r="AF26" s="36">
        <v>4035.8600000000006</v>
      </c>
      <c r="AG26" s="36">
        <v>7948</v>
      </c>
      <c r="AH26" s="36">
        <v>909156.15999999992</v>
      </c>
      <c r="AI26" s="134">
        <v>17</v>
      </c>
      <c r="AJ26" s="36">
        <v>7182.1399999999994</v>
      </c>
      <c r="AK26" s="133">
        <v>8249</v>
      </c>
      <c r="AL26" s="115">
        <v>1157248.83</v>
      </c>
      <c r="AM26" s="133">
        <v>16</v>
      </c>
      <c r="AN26" s="115">
        <v>7849.8</v>
      </c>
      <c r="AO26" s="17"/>
      <c r="AP26" s="34">
        <v>21</v>
      </c>
      <c r="AQ26" s="34">
        <v>8</v>
      </c>
      <c r="AR26" s="27">
        <v>0.38095238095238093</v>
      </c>
      <c r="AS26" s="34">
        <v>10</v>
      </c>
      <c r="AT26" s="34">
        <v>2</v>
      </c>
      <c r="AU26" s="27">
        <v>0.2</v>
      </c>
      <c r="AV26" s="34">
        <v>4</v>
      </c>
      <c r="AW26" s="34">
        <v>4</v>
      </c>
      <c r="AX26" s="27">
        <v>1</v>
      </c>
      <c r="AY26" s="132">
        <v>4</v>
      </c>
      <c r="AZ26" s="132">
        <v>4</v>
      </c>
      <c r="BA26" s="104">
        <f t="shared" si="1"/>
        <v>1</v>
      </c>
      <c r="BB26" s="214" t="str">
        <f t="shared" si="2"/>
        <v>No</v>
      </c>
      <c r="BC26" s="293" t="s">
        <v>377</v>
      </c>
      <c r="BD26" s="294">
        <v>1157248.83</v>
      </c>
    </row>
    <row r="27" spans="1:56" x14ac:dyDescent="0.25">
      <c r="A27" s="17" t="s">
        <v>11</v>
      </c>
      <c r="B27" s="34">
        <v>17</v>
      </c>
      <c r="C27" s="34">
        <v>16</v>
      </c>
      <c r="D27" s="27">
        <v>0.94117647058823528</v>
      </c>
      <c r="E27" s="34">
        <v>15</v>
      </c>
      <c r="F27" s="34">
        <v>13</v>
      </c>
      <c r="G27" s="27">
        <v>0.8666666666666667</v>
      </c>
      <c r="H27" s="34">
        <v>11</v>
      </c>
      <c r="I27" s="34">
        <v>11</v>
      </c>
      <c r="J27" s="27">
        <v>1</v>
      </c>
      <c r="K27" s="95">
        <v>11</v>
      </c>
      <c r="L27" s="95">
        <v>11</v>
      </c>
      <c r="M27" s="27">
        <v>1</v>
      </c>
      <c r="N27" s="95">
        <v>10</v>
      </c>
      <c r="O27" s="95">
        <v>9</v>
      </c>
      <c r="P27" s="27">
        <v>0.9</v>
      </c>
      <c r="Q27" s="132">
        <v>8</v>
      </c>
      <c r="R27" s="132">
        <v>8</v>
      </c>
      <c r="S27" s="104">
        <f t="shared" si="0"/>
        <v>1</v>
      </c>
      <c r="T27" s="17"/>
      <c r="U27" s="46">
        <v>6839</v>
      </c>
      <c r="V27" s="36">
        <v>2481622.7999999998</v>
      </c>
      <c r="W27" s="46">
        <v>234</v>
      </c>
      <c r="X27" s="36">
        <v>88637.5</v>
      </c>
      <c r="Y27" s="46">
        <v>5430</v>
      </c>
      <c r="Z27" s="36">
        <v>2853738.8000000003</v>
      </c>
      <c r="AA27" s="46">
        <v>346</v>
      </c>
      <c r="AB27" s="36">
        <v>105687.44</v>
      </c>
      <c r="AC27" s="134">
        <v>6008</v>
      </c>
      <c r="AD27" s="36">
        <v>3084793.48</v>
      </c>
      <c r="AE27" s="134">
        <v>325</v>
      </c>
      <c r="AF27" s="36">
        <v>128165.02</v>
      </c>
      <c r="AG27" s="36">
        <v>5573</v>
      </c>
      <c r="AH27" s="36">
        <v>2237373.91</v>
      </c>
      <c r="AI27" s="134">
        <v>411</v>
      </c>
      <c r="AJ27" s="36">
        <v>110628.01000000001</v>
      </c>
      <c r="AK27" s="133">
        <v>5047</v>
      </c>
      <c r="AL27" s="115">
        <v>3355326.74</v>
      </c>
      <c r="AM27" s="133">
        <v>234</v>
      </c>
      <c r="AN27" s="115">
        <v>119232.5</v>
      </c>
      <c r="AO27" s="17"/>
      <c r="AP27" s="34">
        <v>21</v>
      </c>
      <c r="AQ27" s="34">
        <v>13</v>
      </c>
      <c r="AR27" s="27">
        <v>0.61904761904761907</v>
      </c>
      <c r="AS27" s="34">
        <v>29</v>
      </c>
      <c r="AT27" s="34">
        <v>24</v>
      </c>
      <c r="AU27" s="27">
        <v>0.82758620689655171</v>
      </c>
      <c r="AV27" s="34">
        <v>31</v>
      </c>
      <c r="AW27" s="34">
        <v>31</v>
      </c>
      <c r="AX27" s="27">
        <v>1</v>
      </c>
      <c r="AY27" s="132">
        <v>26</v>
      </c>
      <c r="AZ27" s="132">
        <v>24</v>
      </c>
      <c r="BA27" s="104">
        <f t="shared" si="1"/>
        <v>0.92307692307692313</v>
      </c>
      <c r="BB27" s="214" t="str">
        <f t="shared" si="2"/>
        <v>No</v>
      </c>
      <c r="BC27" s="293" t="s">
        <v>378</v>
      </c>
      <c r="BD27" s="294">
        <v>3355326.74</v>
      </c>
    </row>
    <row r="28" spans="1:56" x14ac:dyDescent="0.25">
      <c r="A28" s="17" t="s">
        <v>197</v>
      </c>
      <c r="B28" s="34">
        <v>3</v>
      </c>
      <c r="C28" s="34">
        <v>2</v>
      </c>
      <c r="D28" s="27">
        <v>0.66666666666666663</v>
      </c>
      <c r="E28" s="34">
        <v>3</v>
      </c>
      <c r="F28" s="34">
        <v>3</v>
      </c>
      <c r="G28" s="27">
        <v>1</v>
      </c>
      <c r="H28" s="34">
        <v>3</v>
      </c>
      <c r="I28" s="34">
        <v>2</v>
      </c>
      <c r="J28" s="27">
        <v>0.66666666666666663</v>
      </c>
      <c r="K28" s="95">
        <v>4</v>
      </c>
      <c r="L28" s="95">
        <v>4</v>
      </c>
      <c r="M28" s="27">
        <v>1</v>
      </c>
      <c r="N28" s="95">
        <v>4</v>
      </c>
      <c r="O28" s="95">
        <v>4</v>
      </c>
      <c r="P28" s="27">
        <v>1</v>
      </c>
      <c r="Q28" s="132">
        <v>5</v>
      </c>
      <c r="R28" s="132">
        <v>5</v>
      </c>
      <c r="S28" s="104">
        <f t="shared" si="0"/>
        <v>1</v>
      </c>
      <c r="T28" s="17"/>
      <c r="U28" s="46">
        <v>820</v>
      </c>
      <c r="V28" s="36">
        <v>40853</v>
      </c>
      <c r="W28" s="46">
        <v>23</v>
      </c>
      <c r="X28" s="36">
        <v>975</v>
      </c>
      <c r="Y28" s="46">
        <v>727</v>
      </c>
      <c r="Z28" s="36">
        <v>40771.879999999997</v>
      </c>
      <c r="AA28" s="46">
        <v>32</v>
      </c>
      <c r="AB28" s="36">
        <v>1574</v>
      </c>
      <c r="AC28" s="134">
        <v>1076</v>
      </c>
      <c r="AD28" s="36">
        <v>89664.72</v>
      </c>
      <c r="AE28" s="134">
        <v>86</v>
      </c>
      <c r="AF28" s="36">
        <v>7271.98</v>
      </c>
      <c r="AG28" s="36">
        <v>987</v>
      </c>
      <c r="AH28" s="36">
        <v>146036.88</v>
      </c>
      <c r="AI28" s="134">
        <v>111</v>
      </c>
      <c r="AJ28" s="36">
        <v>10710</v>
      </c>
      <c r="AK28" s="133">
        <v>1391</v>
      </c>
      <c r="AL28" s="115">
        <v>225317.15</v>
      </c>
      <c r="AM28" s="133">
        <v>99</v>
      </c>
      <c r="AN28" s="115">
        <v>8690.9500000000007</v>
      </c>
      <c r="AO28" s="17"/>
      <c r="AP28" s="34">
        <v>1</v>
      </c>
      <c r="AQ28" s="34">
        <v>0</v>
      </c>
      <c r="AR28" s="27">
        <v>0</v>
      </c>
      <c r="AS28" s="34">
        <v>2</v>
      </c>
      <c r="AT28" s="34">
        <v>1</v>
      </c>
      <c r="AU28" s="27">
        <v>0.5</v>
      </c>
      <c r="AV28" s="34">
        <v>2</v>
      </c>
      <c r="AW28" s="34">
        <v>1</v>
      </c>
      <c r="AX28" s="27">
        <v>0.5</v>
      </c>
      <c r="AY28" s="132">
        <v>4</v>
      </c>
      <c r="AZ28" s="132">
        <v>3</v>
      </c>
      <c r="BA28" s="104">
        <f t="shared" si="1"/>
        <v>0.75</v>
      </c>
      <c r="BB28" s="214" t="str">
        <f t="shared" si="2"/>
        <v>OK</v>
      </c>
      <c r="BC28" s="293" t="s">
        <v>197</v>
      </c>
      <c r="BD28" s="294">
        <v>225317.15</v>
      </c>
    </row>
    <row r="29" spans="1:56" x14ac:dyDescent="0.25">
      <c r="A29" s="17" t="s">
        <v>12</v>
      </c>
      <c r="B29" s="34">
        <v>20</v>
      </c>
      <c r="C29" s="34">
        <v>17</v>
      </c>
      <c r="D29" s="27">
        <v>0.85</v>
      </c>
      <c r="E29" s="34">
        <v>20</v>
      </c>
      <c r="F29" s="34">
        <v>17</v>
      </c>
      <c r="G29" s="27">
        <v>0.85</v>
      </c>
      <c r="H29" s="34">
        <v>20</v>
      </c>
      <c r="I29" s="34">
        <v>18</v>
      </c>
      <c r="J29" s="27">
        <v>0.9</v>
      </c>
      <c r="K29" s="95">
        <v>21</v>
      </c>
      <c r="L29" s="95">
        <v>12</v>
      </c>
      <c r="M29" s="27">
        <v>0.5714285714285714</v>
      </c>
      <c r="N29" s="95">
        <v>26</v>
      </c>
      <c r="O29" s="95">
        <v>25</v>
      </c>
      <c r="P29" s="27">
        <v>0.96153846153846156</v>
      </c>
      <c r="Q29" s="132">
        <v>26</v>
      </c>
      <c r="R29" s="132">
        <v>25</v>
      </c>
      <c r="S29" s="104">
        <f t="shared" si="0"/>
        <v>0.96153846153846156</v>
      </c>
      <c r="T29" s="17"/>
      <c r="U29" s="46">
        <v>42347</v>
      </c>
      <c r="V29" s="36">
        <v>7775971.5100000007</v>
      </c>
      <c r="W29" s="46">
        <v>403</v>
      </c>
      <c r="X29" s="36">
        <v>141599.6</v>
      </c>
      <c r="Y29" s="46">
        <v>45516</v>
      </c>
      <c r="Z29" s="36">
        <v>8735092.589999998</v>
      </c>
      <c r="AA29" s="46">
        <v>468</v>
      </c>
      <c r="AB29" s="36">
        <v>157817.44</v>
      </c>
      <c r="AC29" s="134">
        <v>45481</v>
      </c>
      <c r="AD29" s="36">
        <v>8893953.8100000005</v>
      </c>
      <c r="AE29" s="134">
        <v>476</v>
      </c>
      <c r="AF29" s="36">
        <v>201449.68000000002</v>
      </c>
      <c r="AG29" s="36">
        <v>45119</v>
      </c>
      <c r="AH29" s="36">
        <v>9418115.8600000013</v>
      </c>
      <c r="AI29" s="134">
        <v>435</v>
      </c>
      <c r="AJ29" s="36">
        <v>201855.88999999998</v>
      </c>
      <c r="AK29" s="133">
        <v>44713</v>
      </c>
      <c r="AL29" s="115">
        <v>9262017.6899999995</v>
      </c>
      <c r="AM29" s="133">
        <v>192</v>
      </c>
      <c r="AN29" s="115">
        <v>82130.98</v>
      </c>
      <c r="AO29" s="17"/>
      <c r="AP29" s="34">
        <v>24</v>
      </c>
      <c r="AQ29" s="34">
        <v>14</v>
      </c>
      <c r="AR29" s="27">
        <v>0.58333333333333337</v>
      </c>
      <c r="AS29" s="34">
        <v>48</v>
      </c>
      <c r="AT29" s="34">
        <v>39</v>
      </c>
      <c r="AU29" s="27">
        <v>0.8125</v>
      </c>
      <c r="AV29" s="34">
        <v>49</v>
      </c>
      <c r="AW29" s="34">
        <v>36</v>
      </c>
      <c r="AX29" s="27">
        <v>0.73469387755102045</v>
      </c>
      <c r="AY29" s="132">
        <v>53</v>
      </c>
      <c r="AZ29" s="132">
        <v>43</v>
      </c>
      <c r="BA29" s="104">
        <f t="shared" si="1"/>
        <v>0.81132075471698117</v>
      </c>
      <c r="BB29" s="214" t="str">
        <f t="shared" si="2"/>
        <v>OK</v>
      </c>
      <c r="BC29" s="293" t="s">
        <v>12</v>
      </c>
      <c r="BD29" s="294">
        <v>9262017.6899999995</v>
      </c>
    </row>
    <row r="30" spans="1:56" x14ac:dyDescent="0.25">
      <c r="A30" s="17" t="s">
        <v>13</v>
      </c>
      <c r="B30" s="34">
        <v>2</v>
      </c>
      <c r="C30" s="34">
        <v>2</v>
      </c>
      <c r="D30" s="27">
        <v>1</v>
      </c>
      <c r="E30" s="34">
        <v>1</v>
      </c>
      <c r="F30" s="34">
        <v>1</v>
      </c>
      <c r="G30" s="27">
        <v>1</v>
      </c>
      <c r="H30" s="34">
        <v>1</v>
      </c>
      <c r="I30" s="34">
        <v>1</v>
      </c>
      <c r="J30" s="27">
        <v>1</v>
      </c>
      <c r="K30" s="95">
        <v>2</v>
      </c>
      <c r="L30" s="95">
        <v>2</v>
      </c>
      <c r="M30" s="27">
        <v>1</v>
      </c>
      <c r="N30" s="95">
        <v>3</v>
      </c>
      <c r="O30" s="95">
        <v>2</v>
      </c>
      <c r="P30" s="27">
        <v>0.66666666666666663</v>
      </c>
      <c r="Q30" s="132">
        <v>3</v>
      </c>
      <c r="R30" s="132">
        <v>3</v>
      </c>
      <c r="S30" s="104">
        <f t="shared" si="0"/>
        <v>1</v>
      </c>
      <c r="T30" s="17"/>
      <c r="U30" s="46">
        <v>193</v>
      </c>
      <c r="V30" s="36">
        <v>15746.83</v>
      </c>
      <c r="W30" s="46">
        <v>6</v>
      </c>
      <c r="X30" s="36">
        <v>1399.92</v>
      </c>
      <c r="Y30" s="46">
        <v>181</v>
      </c>
      <c r="Z30" s="36">
        <v>11337.86</v>
      </c>
      <c r="AA30" s="46">
        <v>1</v>
      </c>
      <c r="AB30" s="36">
        <v>24.99</v>
      </c>
      <c r="AC30" s="134">
        <v>90</v>
      </c>
      <c r="AD30" s="36">
        <v>16910.2</v>
      </c>
      <c r="AE30" s="134">
        <v>2</v>
      </c>
      <c r="AF30" s="36">
        <v>60.1</v>
      </c>
      <c r="AG30" s="36">
        <v>290</v>
      </c>
      <c r="AH30" s="36">
        <v>37278.229999999996</v>
      </c>
      <c r="AI30" s="134">
        <v>8</v>
      </c>
      <c r="AJ30" s="36">
        <v>1495.15</v>
      </c>
      <c r="AK30" s="133">
        <v>252</v>
      </c>
      <c r="AL30" s="115">
        <v>55780.49</v>
      </c>
      <c r="AM30" s="133">
        <v>8</v>
      </c>
      <c r="AN30" s="115">
        <v>2400</v>
      </c>
      <c r="AO30" s="17"/>
      <c r="AP30" s="34">
        <v>2</v>
      </c>
      <c r="AQ30" s="34">
        <v>2</v>
      </c>
      <c r="AR30" s="27">
        <v>1</v>
      </c>
      <c r="AS30" s="34">
        <v>2</v>
      </c>
      <c r="AT30" s="34">
        <v>2</v>
      </c>
      <c r="AU30" s="27">
        <v>1</v>
      </c>
      <c r="AV30" s="34">
        <v>2</v>
      </c>
      <c r="AW30" s="34">
        <v>1</v>
      </c>
      <c r="AX30" s="27">
        <v>0.5</v>
      </c>
      <c r="AY30" s="132">
        <v>2</v>
      </c>
      <c r="AZ30" s="132">
        <v>2</v>
      </c>
      <c r="BA30" s="104">
        <f t="shared" si="1"/>
        <v>1</v>
      </c>
      <c r="BB30" s="214" t="str">
        <f t="shared" si="2"/>
        <v>OK</v>
      </c>
      <c r="BC30" s="293" t="s">
        <v>13</v>
      </c>
      <c r="BD30" s="294">
        <v>55780.49</v>
      </c>
    </row>
    <row r="31" spans="1:56" x14ac:dyDescent="0.25">
      <c r="A31" s="17" t="s">
        <v>14</v>
      </c>
      <c r="B31" s="34">
        <v>2</v>
      </c>
      <c r="C31" s="34">
        <v>2</v>
      </c>
      <c r="D31" s="27">
        <v>1</v>
      </c>
      <c r="E31" s="34">
        <v>3</v>
      </c>
      <c r="F31" s="34">
        <v>3</v>
      </c>
      <c r="G31" s="27">
        <v>1</v>
      </c>
      <c r="H31" s="34">
        <v>4</v>
      </c>
      <c r="I31" s="34">
        <v>4</v>
      </c>
      <c r="J31" s="27">
        <v>1</v>
      </c>
      <c r="K31" s="95">
        <v>4</v>
      </c>
      <c r="L31" s="95">
        <v>4</v>
      </c>
      <c r="M31" s="27">
        <v>1</v>
      </c>
      <c r="N31" s="95">
        <v>3</v>
      </c>
      <c r="O31" s="95">
        <v>3</v>
      </c>
      <c r="P31" s="27">
        <v>1</v>
      </c>
      <c r="Q31" s="132">
        <v>3</v>
      </c>
      <c r="R31" s="132">
        <v>3</v>
      </c>
      <c r="S31" s="104">
        <f t="shared" si="0"/>
        <v>1</v>
      </c>
      <c r="T31" s="17"/>
      <c r="U31" s="46">
        <v>118</v>
      </c>
      <c r="V31" s="36">
        <v>78615.539999999994</v>
      </c>
      <c r="W31" s="46">
        <v>3</v>
      </c>
      <c r="X31" s="36">
        <v>722.84</v>
      </c>
      <c r="Y31" s="46">
        <v>270</v>
      </c>
      <c r="Z31" s="36">
        <v>137066.33000000002</v>
      </c>
      <c r="AA31" s="46">
        <v>6</v>
      </c>
      <c r="AB31" s="36">
        <v>2780</v>
      </c>
      <c r="AC31" s="134">
        <v>175</v>
      </c>
      <c r="AD31" s="36">
        <v>23537.68</v>
      </c>
      <c r="AE31" s="134">
        <v>8</v>
      </c>
      <c r="AF31" s="36">
        <v>1765</v>
      </c>
      <c r="AG31" s="36">
        <v>226</v>
      </c>
      <c r="AH31" s="36">
        <v>42571.270000000004</v>
      </c>
      <c r="AI31" s="134">
        <v>18</v>
      </c>
      <c r="AJ31" s="36">
        <v>4031.5</v>
      </c>
      <c r="AK31" s="133">
        <v>225</v>
      </c>
      <c r="AL31" s="115">
        <v>34371.96</v>
      </c>
      <c r="AM31" s="133">
        <v>34</v>
      </c>
      <c r="AN31" s="115">
        <v>8376.99</v>
      </c>
      <c r="AO31" s="17"/>
      <c r="AP31" s="34">
        <v>1</v>
      </c>
      <c r="AQ31" s="34">
        <v>1</v>
      </c>
      <c r="AR31" s="27">
        <v>1</v>
      </c>
      <c r="AS31" s="34">
        <v>1</v>
      </c>
      <c r="AT31" s="34">
        <v>1</v>
      </c>
      <c r="AU31" s="27">
        <v>1</v>
      </c>
      <c r="AV31" s="34">
        <v>1</v>
      </c>
      <c r="AW31" s="34">
        <v>1</v>
      </c>
      <c r="AX31" s="27">
        <v>1</v>
      </c>
      <c r="AY31" s="132">
        <v>1</v>
      </c>
      <c r="AZ31" s="132">
        <v>1</v>
      </c>
      <c r="BA31" s="104">
        <f t="shared" si="1"/>
        <v>1</v>
      </c>
      <c r="BB31" s="214" t="str">
        <f t="shared" si="2"/>
        <v>OK</v>
      </c>
      <c r="BC31" s="293" t="s">
        <v>14</v>
      </c>
      <c r="BD31" s="294">
        <v>34371.96</v>
      </c>
    </row>
    <row r="32" spans="1:56" x14ac:dyDescent="0.25">
      <c r="A32" s="17" t="s">
        <v>15</v>
      </c>
      <c r="B32" s="34">
        <v>4</v>
      </c>
      <c r="C32" s="34">
        <v>4</v>
      </c>
      <c r="D32" s="27">
        <v>1</v>
      </c>
      <c r="E32" s="34">
        <v>3</v>
      </c>
      <c r="F32" s="34">
        <v>2</v>
      </c>
      <c r="G32" s="27">
        <v>0.66666666666666663</v>
      </c>
      <c r="H32" s="34">
        <v>5</v>
      </c>
      <c r="I32" s="34">
        <v>5</v>
      </c>
      <c r="J32" s="27">
        <v>1</v>
      </c>
      <c r="K32" s="95">
        <v>2</v>
      </c>
      <c r="L32" s="95">
        <v>2</v>
      </c>
      <c r="M32" s="27">
        <v>1</v>
      </c>
      <c r="N32" s="95">
        <v>3</v>
      </c>
      <c r="O32" s="95">
        <v>3</v>
      </c>
      <c r="P32" s="27">
        <v>1</v>
      </c>
      <c r="Q32" s="132">
        <v>3</v>
      </c>
      <c r="R32" s="132">
        <v>3</v>
      </c>
      <c r="S32" s="104">
        <f t="shared" si="0"/>
        <v>1</v>
      </c>
      <c r="T32" s="17"/>
      <c r="U32" s="46">
        <v>3299</v>
      </c>
      <c r="V32" s="36">
        <v>347970.22000000003</v>
      </c>
      <c r="W32" s="46">
        <v>161</v>
      </c>
      <c r="X32" s="36">
        <v>16512</v>
      </c>
      <c r="Y32" s="46">
        <v>2204</v>
      </c>
      <c r="Z32" s="36">
        <v>176774</v>
      </c>
      <c r="AA32" s="46">
        <v>124</v>
      </c>
      <c r="AB32" s="36">
        <v>11529</v>
      </c>
      <c r="AC32" s="134">
        <v>1445</v>
      </c>
      <c r="AD32" s="36">
        <v>111471</v>
      </c>
      <c r="AE32" s="134">
        <v>151</v>
      </c>
      <c r="AF32" s="36">
        <v>15625</v>
      </c>
      <c r="AG32" s="36">
        <v>1586</v>
      </c>
      <c r="AH32" s="36">
        <v>129021</v>
      </c>
      <c r="AI32" s="134">
        <v>172</v>
      </c>
      <c r="AJ32" s="36">
        <v>16645</v>
      </c>
      <c r="AK32" s="133">
        <v>1556</v>
      </c>
      <c r="AL32" s="115">
        <v>146262.48000000001</v>
      </c>
      <c r="AM32" s="133">
        <v>132</v>
      </c>
      <c r="AN32" s="115">
        <v>15387.52</v>
      </c>
      <c r="AO32" s="17"/>
      <c r="AP32" s="34">
        <v>10</v>
      </c>
      <c r="AQ32" s="34">
        <v>8</v>
      </c>
      <c r="AR32" s="27">
        <v>0.8</v>
      </c>
      <c r="AS32" s="34">
        <v>1</v>
      </c>
      <c r="AT32" s="34">
        <v>1</v>
      </c>
      <c r="AU32" s="27">
        <v>1</v>
      </c>
      <c r="AV32" s="34">
        <v>1</v>
      </c>
      <c r="AW32" s="34">
        <v>1</v>
      </c>
      <c r="AX32" s="27">
        <v>1</v>
      </c>
      <c r="AY32" s="132">
        <v>1</v>
      </c>
      <c r="AZ32" s="132">
        <v>1</v>
      </c>
      <c r="BA32" s="104">
        <f t="shared" si="1"/>
        <v>1</v>
      </c>
      <c r="BB32" s="214" t="str">
        <f t="shared" si="2"/>
        <v>OK</v>
      </c>
      <c r="BC32" s="293" t="s">
        <v>15</v>
      </c>
      <c r="BD32" s="294">
        <v>146262.48000000001</v>
      </c>
    </row>
    <row r="33" spans="1:56" x14ac:dyDescent="0.25">
      <c r="A33" s="17" t="s">
        <v>16</v>
      </c>
      <c r="B33" s="34">
        <v>5</v>
      </c>
      <c r="C33" s="34">
        <v>4</v>
      </c>
      <c r="D33" s="27">
        <v>0.8</v>
      </c>
      <c r="E33" s="34">
        <v>6</v>
      </c>
      <c r="F33" s="34">
        <v>5</v>
      </c>
      <c r="G33" s="27">
        <v>0.83333333333333337</v>
      </c>
      <c r="H33" s="34">
        <v>7</v>
      </c>
      <c r="I33" s="34">
        <v>7</v>
      </c>
      <c r="J33" s="27">
        <v>1</v>
      </c>
      <c r="K33" s="95">
        <v>8</v>
      </c>
      <c r="L33" s="95">
        <v>8</v>
      </c>
      <c r="M33" s="27">
        <v>1</v>
      </c>
      <c r="N33" s="95">
        <v>9</v>
      </c>
      <c r="O33" s="95">
        <v>8</v>
      </c>
      <c r="P33" s="27">
        <v>0.88888888888888884</v>
      </c>
      <c r="Q33" s="132">
        <v>12</v>
      </c>
      <c r="R33" s="132">
        <v>10</v>
      </c>
      <c r="S33" s="104">
        <f t="shared" si="0"/>
        <v>0.83333333333333337</v>
      </c>
      <c r="T33" s="17"/>
      <c r="U33" s="46">
        <v>3575</v>
      </c>
      <c r="V33" s="36">
        <v>590731.44999999995</v>
      </c>
      <c r="W33" s="46">
        <v>29</v>
      </c>
      <c r="X33" s="36">
        <v>7622.4</v>
      </c>
      <c r="Y33" s="46">
        <v>4544</v>
      </c>
      <c r="Z33" s="36">
        <v>939042.9</v>
      </c>
      <c r="AA33" s="46">
        <v>15</v>
      </c>
      <c r="AB33" s="36">
        <v>4430.34</v>
      </c>
      <c r="AC33" s="134">
        <v>5177</v>
      </c>
      <c r="AD33" s="36">
        <v>1062448.97</v>
      </c>
      <c r="AE33" s="134">
        <v>11</v>
      </c>
      <c r="AF33" s="36">
        <v>2000.94</v>
      </c>
      <c r="AG33" s="36">
        <v>7214</v>
      </c>
      <c r="AH33" s="36">
        <v>1195281.6599999999</v>
      </c>
      <c r="AI33" s="134">
        <v>40</v>
      </c>
      <c r="AJ33" s="36">
        <v>8691.43</v>
      </c>
      <c r="AK33" s="133">
        <v>7001</v>
      </c>
      <c r="AL33" s="115">
        <v>1348167.3499999999</v>
      </c>
      <c r="AM33" s="133">
        <v>66</v>
      </c>
      <c r="AN33" s="115">
        <v>22408.080000000002</v>
      </c>
      <c r="AO33" s="17"/>
      <c r="AP33" s="34">
        <v>1</v>
      </c>
      <c r="AQ33" s="34">
        <v>1</v>
      </c>
      <c r="AR33" s="27">
        <v>1</v>
      </c>
      <c r="AS33" s="34">
        <v>11</v>
      </c>
      <c r="AT33" s="34">
        <v>3</v>
      </c>
      <c r="AU33" s="27">
        <v>0.27272727272727271</v>
      </c>
      <c r="AV33" s="34">
        <v>11</v>
      </c>
      <c r="AW33" s="34">
        <v>2</v>
      </c>
      <c r="AX33" s="27">
        <v>0.18181818181818182</v>
      </c>
      <c r="AY33" s="132">
        <v>9</v>
      </c>
      <c r="AZ33" s="132">
        <v>3</v>
      </c>
      <c r="BA33" s="104">
        <f t="shared" si="1"/>
        <v>0.33333333333333331</v>
      </c>
      <c r="BB33" s="214" t="str">
        <f t="shared" si="2"/>
        <v>No</v>
      </c>
      <c r="BC33" s="293" t="s">
        <v>379</v>
      </c>
      <c r="BD33" s="294">
        <v>1348167.3499999999</v>
      </c>
    </row>
    <row r="34" spans="1:56" x14ac:dyDescent="0.25">
      <c r="A34" s="17" t="s">
        <v>17</v>
      </c>
      <c r="B34" s="34">
        <v>1</v>
      </c>
      <c r="C34" s="34">
        <v>1</v>
      </c>
      <c r="D34" s="27">
        <v>1</v>
      </c>
      <c r="E34" s="34">
        <v>1</v>
      </c>
      <c r="F34" s="34">
        <v>1</v>
      </c>
      <c r="G34" s="27">
        <v>1</v>
      </c>
      <c r="H34" s="34">
        <v>2</v>
      </c>
      <c r="I34" s="34">
        <v>2</v>
      </c>
      <c r="J34" s="27">
        <v>1</v>
      </c>
      <c r="K34" s="95">
        <v>2</v>
      </c>
      <c r="L34" s="95">
        <v>2</v>
      </c>
      <c r="M34" s="27">
        <v>1</v>
      </c>
      <c r="N34" s="95">
        <v>3</v>
      </c>
      <c r="O34" s="95">
        <v>3</v>
      </c>
      <c r="P34" s="27">
        <v>1</v>
      </c>
      <c r="Q34" s="132">
        <v>3</v>
      </c>
      <c r="R34" s="132">
        <v>3</v>
      </c>
      <c r="S34" s="104">
        <f t="shared" si="0"/>
        <v>1</v>
      </c>
      <c r="T34" s="17"/>
      <c r="U34" s="46">
        <v>23</v>
      </c>
      <c r="V34" s="36">
        <v>26998</v>
      </c>
      <c r="W34" s="46">
        <v>0</v>
      </c>
      <c r="X34" s="36">
        <v>0</v>
      </c>
      <c r="Y34" s="46">
        <v>73</v>
      </c>
      <c r="Z34" s="36">
        <v>20500</v>
      </c>
      <c r="AA34" s="46">
        <v>4</v>
      </c>
      <c r="AB34" s="36">
        <v>675</v>
      </c>
      <c r="AC34" s="134">
        <v>291</v>
      </c>
      <c r="AD34" s="36">
        <v>19233.059999999998</v>
      </c>
      <c r="AE34" s="134">
        <v>7</v>
      </c>
      <c r="AF34" s="36">
        <v>174.2</v>
      </c>
      <c r="AG34" s="36">
        <v>407</v>
      </c>
      <c r="AH34" s="36">
        <v>70823.820000000007</v>
      </c>
      <c r="AI34" s="134">
        <v>6</v>
      </c>
      <c r="AJ34" s="36">
        <v>580</v>
      </c>
      <c r="AK34" s="133">
        <v>57</v>
      </c>
      <c r="AL34" s="115">
        <v>25247.32</v>
      </c>
      <c r="AM34" s="133">
        <v>7</v>
      </c>
      <c r="AN34" s="115">
        <v>2800</v>
      </c>
      <c r="AO34" s="17"/>
      <c r="AP34" s="34">
        <v>3</v>
      </c>
      <c r="AQ34" s="34">
        <v>0</v>
      </c>
      <c r="AR34" s="27">
        <v>0</v>
      </c>
      <c r="AS34" s="34">
        <v>2</v>
      </c>
      <c r="AT34" s="34">
        <v>1</v>
      </c>
      <c r="AU34" s="27">
        <v>0.5</v>
      </c>
      <c r="AV34" s="34">
        <v>2</v>
      </c>
      <c r="AW34" s="34">
        <v>2</v>
      </c>
      <c r="AX34" s="27">
        <v>1</v>
      </c>
      <c r="AY34" s="132">
        <v>1</v>
      </c>
      <c r="AZ34" s="132">
        <v>1</v>
      </c>
      <c r="BA34" s="104">
        <f t="shared" si="1"/>
        <v>1</v>
      </c>
      <c r="BB34" s="214" t="str">
        <f t="shared" si="2"/>
        <v>OK</v>
      </c>
      <c r="BC34" s="293" t="s">
        <v>17</v>
      </c>
      <c r="BD34" s="294">
        <v>25247.32</v>
      </c>
    </row>
    <row r="35" spans="1:56" x14ac:dyDescent="0.25">
      <c r="A35" s="17" t="s">
        <v>18</v>
      </c>
      <c r="B35" s="34">
        <v>6</v>
      </c>
      <c r="C35" s="34">
        <v>4</v>
      </c>
      <c r="D35" s="27">
        <v>0.66666666666666663</v>
      </c>
      <c r="E35" s="34">
        <v>5</v>
      </c>
      <c r="F35" s="34">
        <v>4</v>
      </c>
      <c r="G35" s="27">
        <v>0.8</v>
      </c>
      <c r="H35" s="34">
        <v>7</v>
      </c>
      <c r="I35" s="34">
        <v>6</v>
      </c>
      <c r="J35" s="27">
        <v>0.8571428571428571</v>
      </c>
      <c r="K35" s="95">
        <v>7</v>
      </c>
      <c r="L35" s="95">
        <v>5</v>
      </c>
      <c r="M35" s="27">
        <v>0.7142857142857143</v>
      </c>
      <c r="N35" s="95">
        <v>7</v>
      </c>
      <c r="O35" s="95">
        <v>7</v>
      </c>
      <c r="P35" s="27">
        <v>1</v>
      </c>
      <c r="Q35" s="132">
        <v>7</v>
      </c>
      <c r="R35" s="132">
        <v>6</v>
      </c>
      <c r="S35" s="104">
        <f t="shared" si="0"/>
        <v>0.8571428571428571</v>
      </c>
      <c r="T35" s="17"/>
      <c r="U35" s="46">
        <v>1314</v>
      </c>
      <c r="V35" s="36">
        <v>247982.40000000002</v>
      </c>
      <c r="W35" s="46">
        <v>27</v>
      </c>
      <c r="X35" s="36">
        <v>22699.7</v>
      </c>
      <c r="Y35" s="46">
        <v>1790</v>
      </c>
      <c r="Z35" s="36">
        <v>281611.55000000005</v>
      </c>
      <c r="AA35" s="46">
        <v>63</v>
      </c>
      <c r="AB35" s="36">
        <v>20707.2</v>
      </c>
      <c r="AC35" s="134">
        <v>1384</v>
      </c>
      <c r="AD35" s="36">
        <v>217101.40000000002</v>
      </c>
      <c r="AE35" s="134">
        <v>20</v>
      </c>
      <c r="AF35" s="36">
        <v>7856.25</v>
      </c>
      <c r="AG35" s="36">
        <v>2524</v>
      </c>
      <c r="AH35" s="36">
        <v>283645.90000000002</v>
      </c>
      <c r="AI35" s="134">
        <v>63</v>
      </c>
      <c r="AJ35" s="36">
        <v>8298</v>
      </c>
      <c r="AK35" s="133">
        <v>2664</v>
      </c>
      <c r="AL35" s="115">
        <v>232491.5</v>
      </c>
      <c r="AM35" s="133">
        <v>75</v>
      </c>
      <c r="AN35" s="115">
        <v>16495.599999999999</v>
      </c>
      <c r="AO35" s="17"/>
      <c r="AP35" s="34">
        <v>10</v>
      </c>
      <c r="AQ35" s="34">
        <v>2</v>
      </c>
      <c r="AR35" s="27">
        <v>0.2</v>
      </c>
      <c r="AS35" s="34">
        <v>10</v>
      </c>
      <c r="AT35" s="34">
        <v>4</v>
      </c>
      <c r="AU35" s="27">
        <v>0.4</v>
      </c>
      <c r="AV35" s="34">
        <v>9</v>
      </c>
      <c r="AW35" s="34">
        <v>4</v>
      </c>
      <c r="AX35" s="27">
        <v>0.44444444444444442</v>
      </c>
      <c r="AY35" s="132">
        <v>8</v>
      </c>
      <c r="AZ35" s="132">
        <v>4</v>
      </c>
      <c r="BA35" s="104">
        <f t="shared" si="1"/>
        <v>0.5</v>
      </c>
      <c r="BB35" s="214" t="str">
        <f t="shared" si="2"/>
        <v>OK</v>
      </c>
      <c r="BC35" s="293" t="s">
        <v>18</v>
      </c>
      <c r="BD35" s="294">
        <v>232491.5</v>
      </c>
    </row>
    <row r="36" spans="1:56" x14ac:dyDescent="0.25">
      <c r="A36" s="17" t="s">
        <v>19</v>
      </c>
      <c r="B36" s="34">
        <v>2</v>
      </c>
      <c r="C36" s="34">
        <v>2</v>
      </c>
      <c r="D36" s="27">
        <v>1</v>
      </c>
      <c r="E36" s="34">
        <v>2</v>
      </c>
      <c r="F36" s="34">
        <v>2</v>
      </c>
      <c r="G36" s="27">
        <v>1</v>
      </c>
      <c r="H36" s="34">
        <v>2</v>
      </c>
      <c r="I36" s="34">
        <v>2</v>
      </c>
      <c r="J36" s="27">
        <v>1</v>
      </c>
      <c r="K36" s="95">
        <v>1</v>
      </c>
      <c r="L36" s="95">
        <v>1</v>
      </c>
      <c r="M36" s="27">
        <v>1</v>
      </c>
      <c r="N36" s="95">
        <v>1</v>
      </c>
      <c r="O36" s="95">
        <v>1</v>
      </c>
      <c r="P36" s="27">
        <v>1</v>
      </c>
      <c r="Q36" s="132">
        <v>1</v>
      </c>
      <c r="R36" s="132">
        <v>1</v>
      </c>
      <c r="S36" s="104">
        <f t="shared" si="0"/>
        <v>1</v>
      </c>
      <c r="T36" s="17"/>
      <c r="U36" s="46">
        <v>408</v>
      </c>
      <c r="V36" s="36">
        <v>272167.32</v>
      </c>
      <c r="W36" s="46">
        <v>32</v>
      </c>
      <c r="X36" s="36">
        <v>16799.68</v>
      </c>
      <c r="Y36" s="46">
        <v>598</v>
      </c>
      <c r="Z36" s="36">
        <v>503196</v>
      </c>
      <c r="AA36" s="46">
        <v>24</v>
      </c>
      <c r="AB36" s="36">
        <v>13646.5</v>
      </c>
      <c r="AC36" s="134">
        <v>621</v>
      </c>
      <c r="AD36" s="36">
        <v>509856.54</v>
      </c>
      <c r="AE36" s="134">
        <v>42</v>
      </c>
      <c r="AF36" s="36">
        <v>14744.46</v>
      </c>
      <c r="AG36" s="36">
        <v>703</v>
      </c>
      <c r="AH36" s="36">
        <v>502998.5</v>
      </c>
      <c r="AI36" s="134">
        <v>48</v>
      </c>
      <c r="AJ36" s="36">
        <v>10982</v>
      </c>
      <c r="AK36" s="133">
        <v>1013</v>
      </c>
      <c r="AL36" s="115">
        <v>621136.5</v>
      </c>
      <c r="AM36" s="133">
        <v>53</v>
      </c>
      <c r="AN36" s="115">
        <v>15082.4</v>
      </c>
      <c r="AO36" s="17"/>
      <c r="AP36" s="34">
        <v>1</v>
      </c>
      <c r="AQ36" s="34">
        <v>0</v>
      </c>
      <c r="AR36" s="27">
        <v>0</v>
      </c>
      <c r="AS36" s="34">
        <v>6</v>
      </c>
      <c r="AT36" s="34">
        <v>4</v>
      </c>
      <c r="AU36" s="27">
        <v>0.66666666666666663</v>
      </c>
      <c r="AV36" s="34">
        <v>7</v>
      </c>
      <c r="AW36" s="34">
        <v>5</v>
      </c>
      <c r="AX36" s="27">
        <v>0.7142857142857143</v>
      </c>
      <c r="AY36" s="132">
        <v>7</v>
      </c>
      <c r="AZ36" s="132">
        <v>5</v>
      </c>
      <c r="BA36" s="104">
        <f t="shared" si="1"/>
        <v>0.7142857142857143</v>
      </c>
      <c r="BB36" s="214" t="str">
        <f t="shared" si="2"/>
        <v>OK</v>
      </c>
      <c r="BC36" s="293" t="s">
        <v>19</v>
      </c>
      <c r="BD36" s="294">
        <v>621136.5</v>
      </c>
    </row>
    <row r="37" spans="1:56" x14ac:dyDescent="0.25">
      <c r="A37" s="17" t="s">
        <v>31</v>
      </c>
      <c r="B37" s="34"/>
      <c r="C37" s="34"/>
      <c r="D37" s="27"/>
      <c r="E37" s="34">
        <v>2</v>
      </c>
      <c r="F37" s="34">
        <v>2</v>
      </c>
      <c r="G37" s="27">
        <v>1</v>
      </c>
      <c r="H37" s="34">
        <v>2</v>
      </c>
      <c r="I37" s="34">
        <v>2</v>
      </c>
      <c r="J37" s="27">
        <v>1</v>
      </c>
      <c r="K37" s="95">
        <v>2</v>
      </c>
      <c r="L37" s="95">
        <v>2</v>
      </c>
      <c r="M37" s="27">
        <v>1</v>
      </c>
      <c r="N37" s="95">
        <v>2</v>
      </c>
      <c r="O37" s="95">
        <v>1</v>
      </c>
      <c r="P37" s="27">
        <v>0.5</v>
      </c>
      <c r="Q37" s="132">
        <v>2</v>
      </c>
      <c r="R37" s="132">
        <v>1</v>
      </c>
      <c r="S37" s="104">
        <f t="shared" si="0"/>
        <v>0.5</v>
      </c>
      <c r="T37" s="17"/>
      <c r="U37" s="46">
        <v>621</v>
      </c>
      <c r="V37" s="36">
        <v>946041.98</v>
      </c>
      <c r="W37" s="46">
        <v>5</v>
      </c>
      <c r="X37" s="36">
        <v>1202.26</v>
      </c>
      <c r="Y37" s="46">
        <v>874</v>
      </c>
      <c r="Z37" s="36">
        <v>1119724.83</v>
      </c>
      <c r="AA37" s="46">
        <v>6</v>
      </c>
      <c r="AB37" s="36">
        <v>853.04</v>
      </c>
      <c r="AC37" s="134">
        <v>1076</v>
      </c>
      <c r="AD37" s="36">
        <v>1066543.54</v>
      </c>
      <c r="AE37" s="134">
        <v>0</v>
      </c>
      <c r="AF37" s="36">
        <v>0</v>
      </c>
      <c r="AG37" s="36">
        <v>1616</v>
      </c>
      <c r="AH37" s="36">
        <v>1601671.5899999999</v>
      </c>
      <c r="AI37" s="134">
        <v>4</v>
      </c>
      <c r="AJ37" s="36">
        <v>7107.02</v>
      </c>
      <c r="AK37" s="133">
        <v>4546</v>
      </c>
      <c r="AL37" s="115">
        <v>2354149.39</v>
      </c>
      <c r="AM37" s="133">
        <v>20</v>
      </c>
      <c r="AN37" s="115">
        <v>121896.47</v>
      </c>
      <c r="AO37" s="17"/>
      <c r="AP37" s="34">
        <v>1</v>
      </c>
      <c r="AQ37" s="34">
        <v>0</v>
      </c>
      <c r="AR37" s="27">
        <v>0</v>
      </c>
      <c r="AS37" s="34">
        <v>1</v>
      </c>
      <c r="AT37" s="34">
        <v>1</v>
      </c>
      <c r="AU37" s="27">
        <v>1</v>
      </c>
      <c r="AV37" s="34">
        <v>4</v>
      </c>
      <c r="AW37" s="34">
        <v>4</v>
      </c>
      <c r="AX37" s="27">
        <v>1</v>
      </c>
      <c r="AY37" s="132">
        <v>4</v>
      </c>
      <c r="AZ37" s="132">
        <v>3</v>
      </c>
      <c r="BA37" s="104">
        <f t="shared" si="1"/>
        <v>0.75</v>
      </c>
      <c r="BB37" s="214" t="str">
        <f t="shared" si="2"/>
        <v>No</v>
      </c>
      <c r="BC37" s="293" t="s">
        <v>380</v>
      </c>
      <c r="BD37" s="294">
        <v>2354149.39</v>
      </c>
    </row>
    <row r="38" spans="1:56" x14ac:dyDescent="0.25">
      <c r="A38" s="17" t="s">
        <v>20</v>
      </c>
      <c r="B38" s="34">
        <v>1</v>
      </c>
      <c r="C38" s="34">
        <v>1</v>
      </c>
      <c r="D38" s="27">
        <v>1</v>
      </c>
      <c r="E38" s="34">
        <v>1</v>
      </c>
      <c r="F38" s="34">
        <v>0</v>
      </c>
      <c r="G38" s="27">
        <v>0</v>
      </c>
      <c r="H38" s="34"/>
      <c r="I38" s="34"/>
      <c r="J38" s="27"/>
      <c r="K38" s="95"/>
      <c r="L38" s="95"/>
      <c r="M38" s="27"/>
      <c r="N38" s="95"/>
      <c r="O38" s="95"/>
      <c r="P38" s="27"/>
      <c r="Q38" s="132" t="s">
        <v>334</v>
      </c>
      <c r="R38" s="132" t="s">
        <v>334</v>
      </c>
      <c r="S38" s="104"/>
      <c r="T38" s="17"/>
      <c r="U38" s="46"/>
      <c r="V38" s="36"/>
      <c r="W38" s="46"/>
      <c r="X38" s="36"/>
      <c r="Y38" s="46"/>
      <c r="Z38" s="36"/>
      <c r="AA38" s="46"/>
      <c r="AB38" s="36"/>
      <c r="AC38" s="134"/>
      <c r="AD38" s="36"/>
      <c r="AE38" s="134"/>
      <c r="AF38" s="36"/>
      <c r="AG38" s="36"/>
      <c r="AH38" s="36"/>
      <c r="AI38" s="134"/>
      <c r="AJ38" s="36"/>
      <c r="AK38" s="133"/>
      <c r="AL38" s="115"/>
      <c r="AM38" s="133"/>
      <c r="AN38" s="115"/>
      <c r="AO38" s="17"/>
      <c r="AP38" s="34"/>
      <c r="AQ38" s="34"/>
      <c r="AR38" s="27"/>
      <c r="AS38" s="34"/>
      <c r="AT38" s="34"/>
      <c r="AU38" s="27"/>
      <c r="AV38" s="34"/>
      <c r="AW38" s="34"/>
      <c r="AX38" s="27"/>
      <c r="AY38" s="132"/>
      <c r="AZ38" s="132"/>
      <c r="BA38" s="104"/>
      <c r="BB38" s="214" t="str">
        <f t="shared" si="2"/>
        <v>No</v>
      </c>
      <c r="BC38" s="293"/>
      <c r="BD38" s="294"/>
    </row>
    <row r="39" spans="1:56" x14ac:dyDescent="0.25">
      <c r="A39" s="17" t="s">
        <v>27</v>
      </c>
      <c r="B39" s="34"/>
      <c r="C39" s="34"/>
      <c r="D39" s="27"/>
      <c r="E39" s="34"/>
      <c r="F39" s="34"/>
      <c r="G39" s="27"/>
      <c r="H39" s="34"/>
      <c r="I39" s="34"/>
      <c r="J39" s="27"/>
      <c r="K39" s="95"/>
      <c r="L39" s="95"/>
      <c r="M39" s="27"/>
      <c r="N39" s="95"/>
      <c r="O39" s="95"/>
      <c r="P39" s="27"/>
      <c r="Q39" s="132" t="s">
        <v>334</v>
      </c>
      <c r="R39" s="132" t="s">
        <v>334</v>
      </c>
      <c r="S39" s="104"/>
      <c r="T39" s="17"/>
      <c r="U39" s="46"/>
      <c r="V39" s="36"/>
      <c r="W39" s="46"/>
      <c r="X39" s="36"/>
      <c r="Y39" s="46"/>
      <c r="Z39" s="36"/>
      <c r="AA39" s="46"/>
      <c r="AB39" s="36"/>
      <c r="AC39" s="134"/>
      <c r="AD39" s="36"/>
      <c r="AE39" s="134"/>
      <c r="AF39" s="36"/>
      <c r="AG39" s="36"/>
      <c r="AH39" s="36"/>
      <c r="AI39" s="134"/>
      <c r="AJ39" s="36"/>
      <c r="AK39" s="133"/>
      <c r="AL39" s="115"/>
      <c r="AM39" s="133"/>
      <c r="AN39" s="115"/>
      <c r="AO39" s="17"/>
      <c r="AP39" s="34"/>
      <c r="AQ39" s="34"/>
      <c r="AR39" s="27"/>
      <c r="AS39" s="34"/>
      <c r="AT39" s="34"/>
      <c r="AU39" s="27"/>
      <c r="AV39" s="34"/>
      <c r="AW39" s="34"/>
      <c r="AX39" s="27"/>
      <c r="AY39" s="132"/>
      <c r="AZ39" s="132"/>
      <c r="BA39" s="104"/>
      <c r="BB39" s="214" t="str">
        <f t="shared" si="2"/>
        <v>No</v>
      </c>
      <c r="BC39" s="293"/>
      <c r="BD39" s="294"/>
    </row>
    <row r="40" spans="1:56" x14ac:dyDescent="0.25">
      <c r="A40" s="17" t="s">
        <v>32</v>
      </c>
      <c r="B40" s="34">
        <v>2</v>
      </c>
      <c r="C40" s="34">
        <v>0</v>
      </c>
      <c r="D40" s="27">
        <v>0</v>
      </c>
      <c r="E40" s="34">
        <v>2</v>
      </c>
      <c r="F40" s="34">
        <v>2</v>
      </c>
      <c r="G40" s="27">
        <v>1</v>
      </c>
      <c r="H40" s="34">
        <v>4</v>
      </c>
      <c r="I40" s="34">
        <v>3</v>
      </c>
      <c r="J40" s="27">
        <v>0.75</v>
      </c>
      <c r="K40" s="95">
        <v>5</v>
      </c>
      <c r="L40" s="95">
        <v>5</v>
      </c>
      <c r="M40" s="27">
        <v>1</v>
      </c>
      <c r="N40" s="95">
        <v>7</v>
      </c>
      <c r="O40" s="95">
        <v>6</v>
      </c>
      <c r="P40" s="27">
        <v>0.8571428571428571</v>
      </c>
      <c r="Q40" s="132">
        <v>6</v>
      </c>
      <c r="R40" s="132">
        <v>6</v>
      </c>
      <c r="S40" s="104">
        <f t="shared" si="0"/>
        <v>1</v>
      </c>
      <c r="T40" s="17"/>
      <c r="U40" s="46">
        <v>1641</v>
      </c>
      <c r="V40" s="36">
        <v>106072.89</v>
      </c>
      <c r="W40" s="46">
        <v>196</v>
      </c>
      <c r="X40" s="36">
        <v>11800.09</v>
      </c>
      <c r="Y40" s="46">
        <v>1869</v>
      </c>
      <c r="Z40" s="36">
        <v>102565.65</v>
      </c>
      <c r="AA40" s="46">
        <v>174</v>
      </c>
      <c r="AB40" s="36">
        <v>11904.490000000002</v>
      </c>
      <c r="AC40" s="134">
        <v>1520</v>
      </c>
      <c r="AD40" s="36">
        <v>95861.34</v>
      </c>
      <c r="AE40" s="134">
        <v>183</v>
      </c>
      <c r="AF40" s="36">
        <v>7994.28</v>
      </c>
      <c r="AG40" s="36">
        <v>2063</v>
      </c>
      <c r="AH40" s="36">
        <v>127172.18</v>
      </c>
      <c r="AI40" s="134">
        <v>371</v>
      </c>
      <c r="AJ40" s="36">
        <v>15219.039999999999</v>
      </c>
      <c r="AK40" s="133">
        <v>2355</v>
      </c>
      <c r="AL40" s="115">
        <v>116346.14</v>
      </c>
      <c r="AM40" s="133">
        <v>371</v>
      </c>
      <c r="AN40" s="115">
        <v>11827.439999999999</v>
      </c>
      <c r="AO40" s="17"/>
      <c r="AP40" s="34">
        <v>5</v>
      </c>
      <c r="AQ40" s="34">
        <v>3</v>
      </c>
      <c r="AR40" s="27">
        <v>0.6</v>
      </c>
      <c r="AS40" s="34">
        <v>6</v>
      </c>
      <c r="AT40" s="34">
        <v>4</v>
      </c>
      <c r="AU40" s="27">
        <v>0.66666666666666663</v>
      </c>
      <c r="AV40" s="34">
        <v>11</v>
      </c>
      <c r="AW40" s="34">
        <v>9</v>
      </c>
      <c r="AX40" s="27">
        <v>0.81818181818181823</v>
      </c>
      <c r="AY40" s="132">
        <v>9</v>
      </c>
      <c r="AZ40" s="132">
        <v>9</v>
      </c>
      <c r="BA40" s="104">
        <f t="shared" si="1"/>
        <v>1</v>
      </c>
      <c r="BB40" s="214" t="str">
        <f t="shared" si="2"/>
        <v>OK</v>
      </c>
      <c r="BC40" s="293" t="s">
        <v>32</v>
      </c>
      <c r="BD40" s="294">
        <v>116346.14</v>
      </c>
    </row>
    <row r="41" spans="1:56" x14ac:dyDescent="0.25">
      <c r="A41" s="17" t="s">
        <v>21</v>
      </c>
      <c r="B41" s="34">
        <v>12</v>
      </c>
      <c r="C41" s="34">
        <v>10</v>
      </c>
      <c r="D41" s="27">
        <v>0.83333333333333337</v>
      </c>
      <c r="E41" s="34">
        <v>12</v>
      </c>
      <c r="F41" s="34">
        <v>9</v>
      </c>
      <c r="G41" s="27">
        <v>0.75</v>
      </c>
      <c r="H41" s="34">
        <v>12</v>
      </c>
      <c r="I41" s="34">
        <v>9</v>
      </c>
      <c r="J41" s="27">
        <v>0.75</v>
      </c>
      <c r="K41" s="95">
        <v>12</v>
      </c>
      <c r="L41" s="95">
        <v>9</v>
      </c>
      <c r="M41" s="27">
        <v>0.75</v>
      </c>
      <c r="N41" s="95">
        <v>12</v>
      </c>
      <c r="O41" s="95">
        <v>9</v>
      </c>
      <c r="P41" s="27">
        <v>0.75</v>
      </c>
      <c r="Q41" s="132">
        <v>13</v>
      </c>
      <c r="R41" s="132">
        <v>7</v>
      </c>
      <c r="S41" s="104">
        <f t="shared" si="0"/>
        <v>0.53846153846153844</v>
      </c>
      <c r="T41" s="17"/>
      <c r="U41" s="46">
        <v>3309</v>
      </c>
      <c r="V41" s="36">
        <v>114848.08</v>
      </c>
      <c r="W41" s="46">
        <v>15</v>
      </c>
      <c r="X41" s="36">
        <v>488.14</v>
      </c>
      <c r="Y41" s="46">
        <v>3479</v>
      </c>
      <c r="Z41" s="36">
        <v>109795.85</v>
      </c>
      <c r="AA41" s="46">
        <v>14</v>
      </c>
      <c r="AB41" s="36">
        <v>763.36</v>
      </c>
      <c r="AC41" s="134">
        <v>3593</v>
      </c>
      <c r="AD41" s="36">
        <v>106821.76000000001</v>
      </c>
      <c r="AE41" s="134">
        <v>9</v>
      </c>
      <c r="AF41" s="36">
        <v>864.36</v>
      </c>
      <c r="AG41" s="36">
        <v>3804</v>
      </c>
      <c r="AH41" s="36">
        <v>125890.54999999999</v>
      </c>
      <c r="AI41" s="134">
        <v>6</v>
      </c>
      <c r="AJ41" s="36">
        <v>256.07</v>
      </c>
      <c r="AK41" s="133">
        <v>3140</v>
      </c>
      <c r="AL41" s="115">
        <v>101600.37</v>
      </c>
      <c r="AM41" s="133">
        <v>10</v>
      </c>
      <c r="AN41" s="115">
        <v>368.85</v>
      </c>
      <c r="AO41" s="17"/>
      <c r="AP41" s="34">
        <v>73</v>
      </c>
      <c r="AQ41" s="34">
        <v>46</v>
      </c>
      <c r="AR41" s="27">
        <v>0.63013698630136983</v>
      </c>
      <c r="AS41" s="34">
        <v>81</v>
      </c>
      <c r="AT41" s="34">
        <v>69</v>
      </c>
      <c r="AU41" s="27">
        <v>0.85185185185185186</v>
      </c>
      <c r="AV41" s="34">
        <v>60</v>
      </c>
      <c r="AW41" s="34">
        <v>54</v>
      </c>
      <c r="AX41" s="27">
        <v>0.9</v>
      </c>
      <c r="AY41" s="132">
        <v>53</v>
      </c>
      <c r="AZ41" s="132">
        <v>48</v>
      </c>
      <c r="BA41" s="104">
        <f t="shared" si="1"/>
        <v>0.90566037735849059</v>
      </c>
      <c r="BB41" s="214" t="str">
        <f t="shared" si="2"/>
        <v>OK</v>
      </c>
      <c r="BC41" s="293" t="s">
        <v>21</v>
      </c>
      <c r="BD41" s="294">
        <v>101600.37</v>
      </c>
    </row>
    <row r="42" spans="1:56" x14ac:dyDescent="0.25">
      <c r="A42" s="17" t="s">
        <v>43</v>
      </c>
      <c r="B42" s="34">
        <v>26</v>
      </c>
      <c r="C42" s="34">
        <v>20</v>
      </c>
      <c r="D42" s="27">
        <v>0.76923076923076927</v>
      </c>
      <c r="E42" s="34">
        <v>21</v>
      </c>
      <c r="F42" s="34">
        <v>21</v>
      </c>
      <c r="G42" s="27">
        <v>1</v>
      </c>
      <c r="H42" s="34">
        <v>20</v>
      </c>
      <c r="I42" s="34">
        <v>18</v>
      </c>
      <c r="J42" s="27">
        <v>0.9</v>
      </c>
      <c r="K42" s="95">
        <v>21</v>
      </c>
      <c r="L42" s="95">
        <v>20</v>
      </c>
      <c r="M42" s="27">
        <v>0.95238095238095233</v>
      </c>
      <c r="N42" s="95">
        <v>22</v>
      </c>
      <c r="O42" s="95">
        <v>21</v>
      </c>
      <c r="P42" s="27">
        <v>0.95454545454545459</v>
      </c>
      <c r="Q42" s="132">
        <v>18</v>
      </c>
      <c r="R42" s="132">
        <v>17</v>
      </c>
      <c r="S42" s="104">
        <f t="shared" si="0"/>
        <v>0.94444444444444442</v>
      </c>
      <c r="T42" s="17"/>
      <c r="U42" s="46">
        <v>7392</v>
      </c>
      <c r="V42" s="36">
        <v>1494000.5099999998</v>
      </c>
      <c r="W42" s="46">
        <v>85</v>
      </c>
      <c r="X42" s="36">
        <v>28117</v>
      </c>
      <c r="Y42" s="46">
        <v>7263</v>
      </c>
      <c r="Z42" s="36">
        <v>1477338.77</v>
      </c>
      <c r="AA42" s="46">
        <v>93</v>
      </c>
      <c r="AB42" s="36">
        <v>26177.24</v>
      </c>
      <c r="AC42" s="134">
        <v>10982</v>
      </c>
      <c r="AD42" s="36">
        <v>1386799.7199999997</v>
      </c>
      <c r="AE42" s="134">
        <v>77</v>
      </c>
      <c r="AF42" s="36">
        <v>18046.169999999998</v>
      </c>
      <c r="AG42" s="36">
        <v>12335</v>
      </c>
      <c r="AH42" s="36">
        <v>636379.06000000006</v>
      </c>
      <c r="AI42" s="134">
        <v>65</v>
      </c>
      <c r="AJ42" s="36">
        <v>18719.22</v>
      </c>
      <c r="AK42" s="133">
        <v>11631</v>
      </c>
      <c r="AL42" s="115">
        <v>500162.56</v>
      </c>
      <c r="AM42" s="133">
        <v>127</v>
      </c>
      <c r="AN42" s="115">
        <v>23898.75</v>
      </c>
      <c r="AO42" s="17"/>
      <c r="AP42" s="34">
        <v>49</v>
      </c>
      <c r="AQ42" s="34">
        <v>33</v>
      </c>
      <c r="AR42" s="27">
        <v>0.67346938775510201</v>
      </c>
      <c r="AS42" s="34">
        <v>53</v>
      </c>
      <c r="AT42" s="34">
        <v>46</v>
      </c>
      <c r="AU42" s="27">
        <v>0.86792452830188682</v>
      </c>
      <c r="AV42" s="34">
        <v>38</v>
      </c>
      <c r="AW42" s="34">
        <v>29</v>
      </c>
      <c r="AX42" s="27">
        <v>0.76315789473684215</v>
      </c>
      <c r="AY42" s="132">
        <v>32</v>
      </c>
      <c r="AZ42" s="132">
        <v>25</v>
      </c>
      <c r="BA42" s="104">
        <f t="shared" si="1"/>
        <v>0.78125</v>
      </c>
      <c r="BB42" s="214" t="str">
        <f t="shared" si="2"/>
        <v>OK</v>
      </c>
      <c r="BC42" s="293" t="s">
        <v>43</v>
      </c>
      <c r="BD42" s="294">
        <v>500162.56</v>
      </c>
    </row>
    <row r="43" spans="1:56" x14ac:dyDescent="0.25">
      <c r="A43" s="17" t="s">
        <v>44</v>
      </c>
      <c r="B43" s="34">
        <v>16</v>
      </c>
      <c r="C43" s="34">
        <v>12</v>
      </c>
      <c r="D43" s="27">
        <v>0.75</v>
      </c>
      <c r="E43" s="34">
        <v>16</v>
      </c>
      <c r="F43" s="34">
        <v>15</v>
      </c>
      <c r="G43" s="27">
        <v>0.9375</v>
      </c>
      <c r="H43" s="34">
        <v>16</v>
      </c>
      <c r="I43" s="34">
        <v>11</v>
      </c>
      <c r="J43" s="27">
        <v>0.6875</v>
      </c>
      <c r="K43" s="95">
        <v>18</v>
      </c>
      <c r="L43" s="95">
        <v>14</v>
      </c>
      <c r="M43" s="27">
        <v>0.77777777777777779</v>
      </c>
      <c r="N43" s="95">
        <v>17</v>
      </c>
      <c r="O43" s="95">
        <v>14</v>
      </c>
      <c r="P43" s="27">
        <v>0.82352941176470584</v>
      </c>
      <c r="Q43" s="132">
        <v>16</v>
      </c>
      <c r="R43" s="132">
        <v>12</v>
      </c>
      <c r="S43" s="104">
        <f t="shared" si="0"/>
        <v>0.75</v>
      </c>
      <c r="T43" s="17"/>
      <c r="U43" s="46">
        <v>39451</v>
      </c>
      <c r="V43" s="36">
        <v>749573.65999999992</v>
      </c>
      <c r="W43" s="46">
        <v>115</v>
      </c>
      <c r="X43" s="36">
        <v>11315.12</v>
      </c>
      <c r="Y43" s="46">
        <v>37999</v>
      </c>
      <c r="Z43" s="36">
        <v>702207.41</v>
      </c>
      <c r="AA43" s="46">
        <v>103</v>
      </c>
      <c r="AB43" s="36">
        <v>7067.41</v>
      </c>
      <c r="AC43" s="134">
        <v>29114</v>
      </c>
      <c r="AD43" s="36">
        <v>809693.47000000009</v>
      </c>
      <c r="AE43" s="134">
        <v>129</v>
      </c>
      <c r="AF43" s="36">
        <v>12942.85</v>
      </c>
      <c r="AG43" s="36">
        <v>15245</v>
      </c>
      <c r="AH43" s="36">
        <v>873828.44</v>
      </c>
      <c r="AI43" s="134">
        <v>152</v>
      </c>
      <c r="AJ43" s="36">
        <v>15865.75</v>
      </c>
      <c r="AK43" s="133">
        <v>9739</v>
      </c>
      <c r="AL43" s="115">
        <v>756948.47999999998</v>
      </c>
      <c r="AM43" s="133">
        <v>143</v>
      </c>
      <c r="AN43" s="115">
        <v>15594.080000000002</v>
      </c>
      <c r="AO43" s="17"/>
      <c r="AP43" s="34">
        <v>33</v>
      </c>
      <c r="AQ43" s="34">
        <v>21</v>
      </c>
      <c r="AR43" s="27">
        <v>0.63636363636363635</v>
      </c>
      <c r="AS43" s="34">
        <v>49</v>
      </c>
      <c r="AT43" s="34">
        <v>39</v>
      </c>
      <c r="AU43" s="27">
        <v>0.79591836734693877</v>
      </c>
      <c r="AV43" s="34">
        <v>38</v>
      </c>
      <c r="AW43" s="34">
        <v>26</v>
      </c>
      <c r="AX43" s="27">
        <v>0.68421052631578949</v>
      </c>
      <c r="AY43" s="132">
        <v>26</v>
      </c>
      <c r="AZ43" s="132">
        <v>17</v>
      </c>
      <c r="BA43" s="104">
        <f t="shared" si="1"/>
        <v>0.65384615384615385</v>
      </c>
      <c r="BB43" s="214" t="str">
        <f t="shared" si="2"/>
        <v>OK</v>
      </c>
      <c r="BC43" s="293" t="s">
        <v>44</v>
      </c>
      <c r="BD43" s="294">
        <v>756948.47999999998</v>
      </c>
    </row>
    <row r="44" spans="1:56" x14ac:dyDescent="0.25">
      <c r="A44" s="17" t="s">
        <v>35</v>
      </c>
      <c r="B44" s="34"/>
      <c r="C44" s="34"/>
      <c r="D44" s="27"/>
      <c r="E44" s="34"/>
      <c r="F44" s="34"/>
      <c r="G44" s="27"/>
      <c r="H44" s="34"/>
      <c r="I44" s="34"/>
      <c r="J44" s="27"/>
      <c r="K44" s="95"/>
      <c r="L44" s="95"/>
      <c r="M44" s="27"/>
      <c r="N44" s="95"/>
      <c r="O44" s="95"/>
      <c r="P44" s="27"/>
      <c r="Q44" s="132" t="s">
        <v>334</v>
      </c>
      <c r="R44" s="132" t="s">
        <v>334</v>
      </c>
      <c r="S44" s="104"/>
      <c r="T44" s="17"/>
      <c r="U44" s="46"/>
      <c r="V44" s="36"/>
      <c r="W44" s="46"/>
      <c r="X44" s="36"/>
      <c r="Y44" s="46"/>
      <c r="Z44" s="36"/>
      <c r="AA44" s="46"/>
      <c r="AB44" s="36"/>
      <c r="AC44" s="134"/>
      <c r="AD44" s="36"/>
      <c r="AE44" s="134"/>
      <c r="AF44" s="36"/>
      <c r="AG44" s="36"/>
      <c r="AH44" s="36"/>
      <c r="AI44" s="134"/>
      <c r="AJ44" s="36"/>
      <c r="AK44" s="133"/>
      <c r="AL44" s="115"/>
      <c r="AM44" s="133"/>
      <c r="AN44" s="115"/>
      <c r="AO44" s="17"/>
      <c r="AP44" s="34"/>
      <c r="AQ44" s="34"/>
      <c r="AR44" s="27"/>
      <c r="AS44" s="34"/>
      <c r="AT44" s="34"/>
      <c r="AU44" s="27"/>
      <c r="AV44" s="34"/>
      <c r="AW44" s="34"/>
      <c r="AX44" s="27"/>
      <c r="AY44" s="132"/>
      <c r="AZ44" s="132"/>
      <c r="BA44" s="104"/>
      <c r="BB44" s="214" t="str">
        <f t="shared" si="2"/>
        <v>No</v>
      </c>
      <c r="BC44" s="293"/>
      <c r="BD44" s="294"/>
    </row>
    <row r="45" spans="1:56" x14ac:dyDescent="0.25">
      <c r="A45" s="17" t="s">
        <v>36</v>
      </c>
      <c r="B45" s="34"/>
      <c r="C45" s="34"/>
      <c r="D45" s="27"/>
      <c r="E45" s="34"/>
      <c r="F45" s="34"/>
      <c r="G45" s="27"/>
      <c r="H45" s="34"/>
      <c r="I45" s="34"/>
      <c r="J45" s="27"/>
      <c r="K45" s="95"/>
      <c r="L45" s="95"/>
      <c r="M45" s="27"/>
      <c r="N45" s="95"/>
      <c r="O45" s="95"/>
      <c r="P45" s="27"/>
      <c r="Q45" s="132" t="s">
        <v>334</v>
      </c>
      <c r="R45" s="132" t="s">
        <v>334</v>
      </c>
      <c r="S45" s="104"/>
      <c r="T45" s="17"/>
      <c r="U45" s="46"/>
      <c r="V45" s="36"/>
      <c r="W45" s="46"/>
      <c r="X45" s="36"/>
      <c r="Y45" s="46"/>
      <c r="Z45" s="36"/>
      <c r="AA45" s="46"/>
      <c r="AB45" s="36"/>
      <c r="AC45" s="134"/>
      <c r="AD45" s="36"/>
      <c r="AE45" s="134"/>
      <c r="AF45" s="36"/>
      <c r="AG45" s="36"/>
      <c r="AH45" s="36"/>
      <c r="AI45" s="134"/>
      <c r="AJ45" s="36"/>
      <c r="AK45" s="133"/>
      <c r="AL45" s="115"/>
      <c r="AM45" s="133"/>
      <c r="AN45" s="115"/>
      <c r="AO45" s="17"/>
      <c r="AP45" s="34"/>
      <c r="AQ45" s="34"/>
      <c r="AR45" s="27"/>
      <c r="AS45" s="34"/>
      <c r="AT45" s="34"/>
      <c r="AU45" s="27"/>
      <c r="AV45" s="34"/>
      <c r="AW45" s="34"/>
      <c r="AX45" s="27"/>
      <c r="AY45" s="132"/>
      <c r="AZ45" s="132"/>
      <c r="BA45" s="104"/>
      <c r="BB45" s="214" t="str">
        <f t="shared" si="2"/>
        <v>No</v>
      </c>
      <c r="BC45" s="293"/>
      <c r="BD45" s="294"/>
    </row>
    <row r="46" spans="1:56" x14ac:dyDescent="0.25">
      <c r="A46" s="17" t="s">
        <v>37</v>
      </c>
      <c r="B46" s="34">
        <v>10</v>
      </c>
      <c r="C46" s="34">
        <v>10</v>
      </c>
      <c r="D46" s="27">
        <v>1</v>
      </c>
      <c r="E46" s="34">
        <v>9</v>
      </c>
      <c r="F46" s="34">
        <v>8</v>
      </c>
      <c r="G46" s="27">
        <v>0.88888888888888884</v>
      </c>
      <c r="H46" s="34">
        <v>8</v>
      </c>
      <c r="I46" s="34">
        <v>4</v>
      </c>
      <c r="J46" s="27">
        <v>0.5</v>
      </c>
      <c r="K46" s="95">
        <v>10</v>
      </c>
      <c r="L46" s="95">
        <v>4</v>
      </c>
      <c r="M46" s="27">
        <v>0.4</v>
      </c>
      <c r="N46" s="95">
        <v>8</v>
      </c>
      <c r="O46" s="95">
        <v>6</v>
      </c>
      <c r="P46" s="27">
        <v>0.75</v>
      </c>
      <c r="Q46" s="132">
        <v>9</v>
      </c>
      <c r="R46" s="132">
        <v>9</v>
      </c>
      <c r="S46" s="104">
        <f t="shared" si="0"/>
        <v>1</v>
      </c>
      <c r="T46" s="17"/>
      <c r="U46" s="46">
        <v>67508</v>
      </c>
      <c r="V46" s="36">
        <v>37720509.18999999</v>
      </c>
      <c r="W46" s="46">
        <v>802</v>
      </c>
      <c r="X46" s="36">
        <v>311952.82000000007</v>
      </c>
      <c r="Y46" s="46">
        <v>67110</v>
      </c>
      <c r="Z46" s="36">
        <v>37332904.039999999</v>
      </c>
      <c r="AA46" s="46">
        <v>413</v>
      </c>
      <c r="AB46" s="36">
        <v>229587.69</v>
      </c>
      <c r="AC46" s="134">
        <v>73764</v>
      </c>
      <c r="AD46" s="36">
        <v>43695388.25</v>
      </c>
      <c r="AE46" s="134">
        <v>399</v>
      </c>
      <c r="AF46" s="36">
        <v>333611.77</v>
      </c>
      <c r="AG46" s="36">
        <v>74465</v>
      </c>
      <c r="AH46" s="36">
        <v>47454370.18</v>
      </c>
      <c r="AI46" s="134">
        <v>362</v>
      </c>
      <c r="AJ46" s="36">
        <v>273505.17</v>
      </c>
      <c r="AK46" s="133">
        <v>80989</v>
      </c>
      <c r="AL46" s="115">
        <v>46831758.909999996</v>
      </c>
      <c r="AM46" s="133">
        <v>469</v>
      </c>
      <c r="AN46" s="115">
        <v>133191.44</v>
      </c>
      <c r="AO46" s="17"/>
      <c r="AP46" s="34">
        <v>83</v>
      </c>
      <c r="AQ46" s="34">
        <v>17</v>
      </c>
      <c r="AR46" s="27">
        <v>0.20481927710843373</v>
      </c>
      <c r="AS46" s="34">
        <v>128</v>
      </c>
      <c r="AT46" s="34">
        <v>105</v>
      </c>
      <c r="AU46" s="27">
        <v>0.8203125</v>
      </c>
      <c r="AV46" s="34">
        <v>16</v>
      </c>
      <c r="AW46" s="34">
        <v>15</v>
      </c>
      <c r="AX46" s="27">
        <v>0.9375</v>
      </c>
      <c r="AY46" s="132">
        <v>16</v>
      </c>
      <c r="AZ46" s="132">
        <v>16</v>
      </c>
      <c r="BA46" s="104">
        <f t="shared" si="1"/>
        <v>1</v>
      </c>
      <c r="BB46" s="214" t="str">
        <f t="shared" si="2"/>
        <v>OK</v>
      </c>
      <c r="BC46" s="293" t="s">
        <v>37</v>
      </c>
      <c r="BD46" s="294">
        <v>46831758.909999996</v>
      </c>
    </row>
    <row r="47" spans="1:56" x14ac:dyDescent="0.25">
      <c r="A47" s="17" t="s">
        <v>38</v>
      </c>
      <c r="B47" s="34">
        <v>4</v>
      </c>
      <c r="C47" s="34">
        <v>4</v>
      </c>
      <c r="D47" s="27">
        <v>1</v>
      </c>
      <c r="E47" s="34">
        <v>4</v>
      </c>
      <c r="F47" s="34">
        <v>4</v>
      </c>
      <c r="G47" s="27">
        <v>1</v>
      </c>
      <c r="H47" s="34">
        <v>4</v>
      </c>
      <c r="I47" s="34">
        <v>4</v>
      </c>
      <c r="J47" s="27">
        <v>1</v>
      </c>
      <c r="K47" s="95">
        <v>5</v>
      </c>
      <c r="L47" s="95">
        <v>5</v>
      </c>
      <c r="M47" s="27">
        <v>1</v>
      </c>
      <c r="N47" s="95">
        <v>5</v>
      </c>
      <c r="O47" s="95">
        <v>5</v>
      </c>
      <c r="P47" s="27">
        <v>1</v>
      </c>
      <c r="Q47" s="132">
        <v>5</v>
      </c>
      <c r="R47" s="132">
        <v>5</v>
      </c>
      <c r="S47" s="104">
        <f t="shared" si="0"/>
        <v>1</v>
      </c>
      <c r="T47" s="17"/>
      <c r="U47" s="46">
        <v>131277</v>
      </c>
      <c r="V47" s="36">
        <v>2857657.3</v>
      </c>
      <c r="W47" s="46">
        <v>88</v>
      </c>
      <c r="X47" s="36">
        <v>24768.09</v>
      </c>
      <c r="Y47" s="46">
        <v>146052</v>
      </c>
      <c r="Z47" s="36">
        <v>2853572.57</v>
      </c>
      <c r="AA47" s="46">
        <v>2482</v>
      </c>
      <c r="AB47" s="36">
        <v>16406.509999999998</v>
      </c>
      <c r="AC47" s="134">
        <v>152869</v>
      </c>
      <c r="AD47" s="36">
        <v>3181312.58</v>
      </c>
      <c r="AE47" s="134">
        <v>121</v>
      </c>
      <c r="AF47" s="36">
        <v>4904.5</v>
      </c>
      <c r="AG47" s="36">
        <v>162122</v>
      </c>
      <c r="AH47" s="36">
        <v>3325673.2600000002</v>
      </c>
      <c r="AI47" s="134">
        <v>511</v>
      </c>
      <c r="AJ47" s="36">
        <v>7952.88</v>
      </c>
      <c r="AK47" s="133">
        <v>149333</v>
      </c>
      <c r="AL47" s="115">
        <v>3258926.5200000005</v>
      </c>
      <c r="AM47" s="133">
        <v>844</v>
      </c>
      <c r="AN47" s="115">
        <v>29084.25</v>
      </c>
      <c r="AO47" s="17"/>
      <c r="AP47" s="34">
        <v>3</v>
      </c>
      <c r="AQ47" s="34">
        <v>2</v>
      </c>
      <c r="AR47" s="27">
        <v>0.66666666666666663</v>
      </c>
      <c r="AS47" s="34">
        <v>5</v>
      </c>
      <c r="AT47" s="34">
        <v>3</v>
      </c>
      <c r="AU47" s="27">
        <v>0.6</v>
      </c>
      <c r="AV47" s="34">
        <v>5</v>
      </c>
      <c r="AW47" s="34">
        <v>4</v>
      </c>
      <c r="AX47" s="27">
        <v>0.8</v>
      </c>
      <c r="AY47" s="132">
        <v>9</v>
      </c>
      <c r="AZ47" s="132">
        <v>7</v>
      </c>
      <c r="BA47" s="104">
        <f t="shared" si="1"/>
        <v>0.77777777777777779</v>
      </c>
      <c r="BB47" s="214" t="str">
        <f t="shared" si="2"/>
        <v>OK</v>
      </c>
      <c r="BC47" s="293" t="s">
        <v>38</v>
      </c>
      <c r="BD47" s="294">
        <v>3258926.5200000005</v>
      </c>
    </row>
    <row r="48" spans="1:56" x14ac:dyDescent="0.25">
      <c r="A48" s="17" t="s">
        <v>39</v>
      </c>
      <c r="B48" s="34">
        <v>1</v>
      </c>
      <c r="C48" s="34">
        <v>1</v>
      </c>
      <c r="D48" s="27">
        <v>1</v>
      </c>
      <c r="E48" s="34">
        <v>1</v>
      </c>
      <c r="F48" s="34">
        <v>1</v>
      </c>
      <c r="G48" s="27">
        <v>1</v>
      </c>
      <c r="H48" s="34">
        <v>1</v>
      </c>
      <c r="I48" s="34">
        <v>0</v>
      </c>
      <c r="J48" s="27">
        <v>0</v>
      </c>
      <c r="K48" s="95">
        <v>1</v>
      </c>
      <c r="L48" s="95">
        <v>1</v>
      </c>
      <c r="M48" s="27">
        <v>1</v>
      </c>
      <c r="N48" s="95">
        <v>1</v>
      </c>
      <c r="O48" s="95">
        <v>1</v>
      </c>
      <c r="P48" s="27">
        <v>1</v>
      </c>
      <c r="Q48" s="132">
        <v>1</v>
      </c>
      <c r="R48" s="132">
        <v>0</v>
      </c>
      <c r="S48" s="104">
        <f t="shared" si="0"/>
        <v>0</v>
      </c>
      <c r="T48" s="17"/>
      <c r="U48" s="46">
        <v>113</v>
      </c>
      <c r="V48" s="36">
        <v>43766</v>
      </c>
      <c r="W48" s="46">
        <v>0</v>
      </c>
      <c r="X48" s="36">
        <v>0</v>
      </c>
      <c r="Y48" s="46">
        <v>216</v>
      </c>
      <c r="Z48" s="36">
        <v>66849</v>
      </c>
      <c r="AA48" s="46">
        <v>1</v>
      </c>
      <c r="AB48" s="36">
        <v>156</v>
      </c>
      <c r="AC48" s="134">
        <v>142</v>
      </c>
      <c r="AD48" s="36">
        <v>53759</v>
      </c>
      <c r="AE48" s="134">
        <v>0</v>
      </c>
      <c r="AF48" s="36">
        <v>0</v>
      </c>
      <c r="AG48" s="36">
        <v>178</v>
      </c>
      <c r="AH48" s="36">
        <v>73033</v>
      </c>
      <c r="AI48" s="134">
        <v>1</v>
      </c>
      <c r="AJ48" s="36">
        <v>512</v>
      </c>
      <c r="AK48" s="133">
        <v>132</v>
      </c>
      <c r="AL48" s="115">
        <v>50595</v>
      </c>
      <c r="AM48" s="133">
        <v>1</v>
      </c>
      <c r="AN48" s="115">
        <v>15</v>
      </c>
      <c r="AO48" s="17"/>
      <c r="AP48" s="34"/>
      <c r="AQ48" s="34"/>
      <c r="AR48" s="27"/>
      <c r="AS48" s="34">
        <v>3</v>
      </c>
      <c r="AT48" s="34">
        <v>3</v>
      </c>
      <c r="AU48" s="27">
        <v>1</v>
      </c>
      <c r="AV48" s="34">
        <v>2</v>
      </c>
      <c r="AW48" s="34">
        <v>2</v>
      </c>
      <c r="AX48" s="27">
        <v>1</v>
      </c>
      <c r="AY48" s="132">
        <v>2</v>
      </c>
      <c r="AZ48" s="132">
        <v>1</v>
      </c>
      <c r="BA48" s="104">
        <f t="shared" si="1"/>
        <v>0.5</v>
      </c>
      <c r="BB48" s="214" t="str">
        <f t="shared" si="2"/>
        <v>OK</v>
      </c>
      <c r="BC48" s="293" t="s">
        <v>39</v>
      </c>
      <c r="BD48" s="294">
        <v>50595</v>
      </c>
    </row>
    <row r="49" spans="1:56" x14ac:dyDescent="0.25">
      <c r="A49" s="17" t="s">
        <v>40</v>
      </c>
      <c r="B49" s="34">
        <v>1</v>
      </c>
      <c r="C49" s="34">
        <v>1</v>
      </c>
      <c r="D49" s="27">
        <v>1</v>
      </c>
      <c r="E49" s="34">
        <v>2</v>
      </c>
      <c r="F49" s="34">
        <v>1</v>
      </c>
      <c r="G49" s="27">
        <v>0.5</v>
      </c>
      <c r="H49" s="34">
        <v>2</v>
      </c>
      <c r="I49" s="34">
        <v>1</v>
      </c>
      <c r="J49" s="27">
        <v>0.5</v>
      </c>
      <c r="K49" s="95">
        <v>2</v>
      </c>
      <c r="L49" s="95">
        <v>2</v>
      </c>
      <c r="M49" s="27">
        <v>1</v>
      </c>
      <c r="N49" s="95">
        <v>8</v>
      </c>
      <c r="O49" s="95">
        <v>6</v>
      </c>
      <c r="P49" s="27">
        <v>0.75</v>
      </c>
      <c r="Q49" s="132">
        <v>7</v>
      </c>
      <c r="R49" s="132">
        <v>3</v>
      </c>
      <c r="S49" s="104">
        <f t="shared" si="0"/>
        <v>0.42857142857142855</v>
      </c>
      <c r="T49" s="17"/>
      <c r="U49" s="46">
        <v>27104</v>
      </c>
      <c r="V49" s="36">
        <v>4957954.3600000003</v>
      </c>
      <c r="W49" s="46">
        <v>897</v>
      </c>
      <c r="X49" s="36">
        <v>70043.87</v>
      </c>
      <c r="Y49" s="46">
        <v>24468</v>
      </c>
      <c r="Z49" s="36">
        <v>5184380.42</v>
      </c>
      <c r="AA49" s="46">
        <v>582</v>
      </c>
      <c r="AB49" s="36">
        <v>89092.02</v>
      </c>
      <c r="AC49" s="134">
        <v>21609</v>
      </c>
      <c r="AD49" s="36">
        <v>4971768.0999999996</v>
      </c>
      <c r="AE49" s="134">
        <v>590</v>
      </c>
      <c r="AF49" s="36">
        <v>120419.92</v>
      </c>
      <c r="AG49" s="36">
        <v>25758</v>
      </c>
      <c r="AH49" s="36">
        <v>6011516.4899999993</v>
      </c>
      <c r="AI49" s="134">
        <v>572</v>
      </c>
      <c r="AJ49" s="36">
        <v>110842.5</v>
      </c>
      <c r="AK49" s="133">
        <v>23600</v>
      </c>
      <c r="AL49" s="115">
        <v>4396134.1999999993</v>
      </c>
      <c r="AM49" s="133">
        <v>550</v>
      </c>
      <c r="AN49" s="115">
        <v>86402.010000000009</v>
      </c>
      <c r="AO49" s="17"/>
      <c r="AP49" s="34">
        <v>1</v>
      </c>
      <c r="AQ49" s="34">
        <v>1</v>
      </c>
      <c r="AR49" s="27">
        <v>1</v>
      </c>
      <c r="AS49" s="34">
        <v>4</v>
      </c>
      <c r="AT49" s="34">
        <v>3</v>
      </c>
      <c r="AU49" s="27">
        <v>0.75</v>
      </c>
      <c r="AV49" s="34">
        <v>4</v>
      </c>
      <c r="AW49" s="34">
        <v>3</v>
      </c>
      <c r="AX49" s="27">
        <v>0.75</v>
      </c>
      <c r="AY49" s="132">
        <v>79</v>
      </c>
      <c r="AZ49" s="132">
        <v>38</v>
      </c>
      <c r="BA49" s="104">
        <f t="shared" si="1"/>
        <v>0.48101265822784811</v>
      </c>
      <c r="BB49" s="214" t="str">
        <f t="shared" si="2"/>
        <v>OK</v>
      </c>
      <c r="BC49" s="293" t="s">
        <v>40</v>
      </c>
      <c r="BD49" s="294">
        <v>4396134.1999999993</v>
      </c>
    </row>
    <row r="50" spans="1:56" x14ac:dyDescent="0.25">
      <c r="A50" s="17" t="s">
        <v>41</v>
      </c>
      <c r="B50" s="34">
        <v>51</v>
      </c>
      <c r="C50" s="34">
        <v>50</v>
      </c>
      <c r="D50" s="27">
        <v>0.98039215686274506</v>
      </c>
      <c r="E50" s="34">
        <v>56</v>
      </c>
      <c r="F50" s="34">
        <v>56</v>
      </c>
      <c r="G50" s="27">
        <v>1</v>
      </c>
      <c r="H50" s="34">
        <v>55</v>
      </c>
      <c r="I50" s="34">
        <v>45</v>
      </c>
      <c r="J50" s="27">
        <v>0.81818181818181823</v>
      </c>
      <c r="K50" s="95">
        <v>56</v>
      </c>
      <c r="L50" s="95">
        <v>42</v>
      </c>
      <c r="M50" s="27">
        <v>0.75</v>
      </c>
      <c r="N50" s="95">
        <v>54</v>
      </c>
      <c r="O50" s="95">
        <v>52</v>
      </c>
      <c r="P50" s="27">
        <v>0.96296296296296291</v>
      </c>
      <c r="Q50" s="132">
        <v>50</v>
      </c>
      <c r="R50" s="132">
        <v>47</v>
      </c>
      <c r="S50" s="104">
        <f t="shared" si="0"/>
        <v>0.94</v>
      </c>
      <c r="T50" s="17"/>
      <c r="U50" s="46">
        <v>1005759</v>
      </c>
      <c r="V50" s="36">
        <v>12498526.379999997</v>
      </c>
      <c r="W50" s="46">
        <v>1976</v>
      </c>
      <c r="X50" s="36">
        <v>264872.97000000009</v>
      </c>
      <c r="Y50" s="46">
        <v>1064559</v>
      </c>
      <c r="Z50" s="36">
        <v>13735016.200000001</v>
      </c>
      <c r="AA50" s="46">
        <v>1714</v>
      </c>
      <c r="AB50" s="36">
        <v>262181</v>
      </c>
      <c r="AC50" s="134">
        <v>1216259</v>
      </c>
      <c r="AD50" s="36">
        <v>14897130.689999996</v>
      </c>
      <c r="AE50" s="134">
        <v>2099</v>
      </c>
      <c r="AF50" s="36">
        <v>274741.82</v>
      </c>
      <c r="AG50" s="36">
        <v>1258413</v>
      </c>
      <c r="AH50" s="36">
        <v>17671264.09</v>
      </c>
      <c r="AI50" s="134">
        <v>1637</v>
      </c>
      <c r="AJ50" s="36">
        <v>307182.18999999989</v>
      </c>
      <c r="AK50" s="133">
        <v>1242335</v>
      </c>
      <c r="AL50" s="115">
        <v>16636398.400000004</v>
      </c>
      <c r="AM50" s="133">
        <v>1344</v>
      </c>
      <c r="AN50" s="115">
        <v>289031.95000000007</v>
      </c>
      <c r="AO50" s="17"/>
      <c r="AP50" s="34">
        <v>66</v>
      </c>
      <c r="AQ50" s="34">
        <v>24</v>
      </c>
      <c r="AR50" s="27">
        <v>0.36363636363636365</v>
      </c>
      <c r="AS50" s="34">
        <v>48</v>
      </c>
      <c r="AT50" s="34">
        <v>21</v>
      </c>
      <c r="AU50" s="27">
        <v>0.4375</v>
      </c>
      <c r="AV50" s="34">
        <v>49</v>
      </c>
      <c r="AW50" s="34">
        <v>23</v>
      </c>
      <c r="AX50" s="27">
        <v>0.46938775510204084</v>
      </c>
      <c r="AY50" s="132">
        <v>40</v>
      </c>
      <c r="AZ50" s="132">
        <v>20</v>
      </c>
      <c r="BA50" s="104">
        <f t="shared" si="1"/>
        <v>0.5</v>
      </c>
      <c r="BB50" s="214" t="str">
        <f t="shared" si="2"/>
        <v>OK</v>
      </c>
      <c r="BC50" s="293" t="s">
        <v>41</v>
      </c>
      <c r="BD50" s="294">
        <v>16636398.400000004</v>
      </c>
    </row>
    <row r="51" spans="1:56" x14ac:dyDescent="0.25">
      <c r="A51" s="17" t="s">
        <v>42</v>
      </c>
      <c r="B51" s="34">
        <v>6</v>
      </c>
      <c r="C51" s="34">
        <v>4</v>
      </c>
      <c r="D51" s="27">
        <v>0.66666666666666663</v>
      </c>
      <c r="E51" s="34">
        <v>6</v>
      </c>
      <c r="F51" s="34">
        <v>5</v>
      </c>
      <c r="G51" s="27">
        <v>0.83333333333333337</v>
      </c>
      <c r="H51" s="34">
        <v>6</v>
      </c>
      <c r="I51" s="34">
        <v>5</v>
      </c>
      <c r="J51" s="27">
        <v>0.83333333333333337</v>
      </c>
      <c r="K51" s="95">
        <v>5</v>
      </c>
      <c r="L51" s="95">
        <v>5</v>
      </c>
      <c r="M51" s="27">
        <v>1</v>
      </c>
      <c r="N51" s="95">
        <v>5</v>
      </c>
      <c r="O51" s="95">
        <v>4</v>
      </c>
      <c r="P51" s="27">
        <v>0.8</v>
      </c>
      <c r="Q51" s="132">
        <v>2</v>
      </c>
      <c r="R51" s="132">
        <v>2</v>
      </c>
      <c r="S51" s="104">
        <f t="shared" si="0"/>
        <v>1</v>
      </c>
      <c r="T51" s="17"/>
      <c r="U51" s="46">
        <v>556</v>
      </c>
      <c r="V51" s="36">
        <v>133846.66</v>
      </c>
      <c r="W51" s="46">
        <v>1</v>
      </c>
      <c r="X51" s="36">
        <v>200</v>
      </c>
      <c r="Y51" s="46">
        <v>277</v>
      </c>
      <c r="Z51" s="36">
        <v>127111.88</v>
      </c>
      <c r="AA51" s="46">
        <v>0</v>
      </c>
      <c r="AB51" s="36">
        <v>0</v>
      </c>
      <c r="AC51" s="134">
        <v>290</v>
      </c>
      <c r="AD51" s="36">
        <v>96771.97</v>
      </c>
      <c r="AE51" s="134">
        <v>1</v>
      </c>
      <c r="AF51" s="36">
        <v>200</v>
      </c>
      <c r="AG51" s="36">
        <v>343</v>
      </c>
      <c r="AH51" s="36">
        <v>159961.03999999998</v>
      </c>
      <c r="AI51" s="134">
        <v>4</v>
      </c>
      <c r="AJ51" s="36">
        <v>2200</v>
      </c>
      <c r="AK51" s="133">
        <v>203</v>
      </c>
      <c r="AL51" s="115">
        <v>71101.05</v>
      </c>
      <c r="AM51" s="133">
        <v>1</v>
      </c>
      <c r="AN51" s="115">
        <v>268</v>
      </c>
      <c r="AO51" s="17"/>
      <c r="AP51" s="34"/>
      <c r="AQ51" s="34"/>
      <c r="AR51" s="27"/>
      <c r="AS51" s="34">
        <v>6</v>
      </c>
      <c r="AT51" s="34">
        <v>4</v>
      </c>
      <c r="AU51" s="27">
        <v>0.66666666666666663</v>
      </c>
      <c r="AV51" s="34">
        <v>6</v>
      </c>
      <c r="AW51" s="34">
        <v>5</v>
      </c>
      <c r="AX51" s="27">
        <v>0.83333333333333337</v>
      </c>
      <c r="AY51" s="132">
        <v>4</v>
      </c>
      <c r="AZ51" s="132">
        <v>4</v>
      </c>
      <c r="BA51" s="104">
        <f t="shared" si="1"/>
        <v>1</v>
      </c>
      <c r="BB51" s="214" t="str">
        <f t="shared" si="2"/>
        <v>OK</v>
      </c>
      <c r="BC51" s="293" t="s">
        <v>42</v>
      </c>
      <c r="BD51" s="294">
        <v>71101.05</v>
      </c>
    </row>
    <row r="52" spans="1:56" x14ac:dyDescent="0.25">
      <c r="A52" s="17"/>
      <c r="B52" s="34"/>
      <c r="C52" s="34"/>
      <c r="D52" s="35"/>
      <c r="E52" s="34"/>
      <c r="F52" s="34"/>
      <c r="G52" s="35"/>
      <c r="H52" s="34"/>
      <c r="I52" s="34"/>
      <c r="J52" s="35"/>
      <c r="K52" s="34"/>
      <c r="L52" s="34"/>
      <c r="M52" s="35"/>
      <c r="N52" s="34"/>
      <c r="O52" s="34"/>
      <c r="P52" s="35"/>
      <c r="Q52" s="34"/>
      <c r="R52" s="34"/>
      <c r="S52" s="35"/>
      <c r="T52" s="17"/>
      <c r="U52" s="17"/>
      <c r="V52" s="17"/>
      <c r="W52" s="17"/>
      <c r="X52" s="17"/>
      <c r="Y52" s="17"/>
      <c r="Z52" s="17"/>
      <c r="AA52" s="17"/>
      <c r="AB52" s="17"/>
      <c r="AC52" s="17"/>
      <c r="AD52" s="17"/>
      <c r="AE52" s="17"/>
      <c r="AF52" s="17"/>
      <c r="AG52" s="17"/>
      <c r="AH52" s="17"/>
      <c r="AI52" s="17"/>
      <c r="AJ52" s="17"/>
      <c r="AK52" s="17"/>
      <c r="AL52" s="17"/>
      <c r="AM52" s="17"/>
      <c r="AN52" s="17"/>
      <c r="AO52" s="17"/>
      <c r="AP52" s="34"/>
      <c r="AQ52" s="34"/>
      <c r="AR52" s="35"/>
      <c r="AS52" s="34"/>
      <c r="AT52" s="34"/>
      <c r="AU52" s="35"/>
      <c r="AV52" s="34"/>
      <c r="AW52" s="34"/>
      <c r="AX52" s="35"/>
      <c r="AY52" s="34"/>
      <c r="AZ52" s="34"/>
      <c r="BA52" s="106"/>
      <c r="BB52" s="214"/>
      <c r="BC52" s="293"/>
      <c r="BD52" s="294"/>
    </row>
    <row r="53" spans="1:56" ht="15.75" thickBot="1" x14ac:dyDescent="0.3">
      <c r="A53" s="26" t="s">
        <v>129</v>
      </c>
      <c r="B53" s="29">
        <v>490</v>
      </c>
      <c r="C53" s="29">
        <v>383</v>
      </c>
      <c r="D53" s="28">
        <v>0.78163265306122454</v>
      </c>
      <c r="E53" s="29">
        <v>496</v>
      </c>
      <c r="F53" s="29">
        <v>410</v>
      </c>
      <c r="G53" s="28">
        <v>0.82661290322580649</v>
      </c>
      <c r="H53" s="29">
        <v>518</v>
      </c>
      <c r="I53" s="29">
        <v>393</v>
      </c>
      <c r="J53" s="28">
        <v>0.75868725868725873</v>
      </c>
      <c r="K53" s="29">
        <v>512</v>
      </c>
      <c r="L53" s="29">
        <v>402</v>
      </c>
      <c r="M53" s="28">
        <v>0.78515625</v>
      </c>
      <c r="N53" s="29">
        <v>528</v>
      </c>
      <c r="O53" s="29">
        <v>431</v>
      </c>
      <c r="P53" s="28">
        <v>0.81628787878787878</v>
      </c>
      <c r="Q53" s="29">
        <f>SUM(Q6:Q51)</f>
        <v>522</v>
      </c>
      <c r="R53" s="29">
        <f>SUM(R6:R51)</f>
        <v>436</v>
      </c>
      <c r="S53" s="105">
        <f>R53/Q53</f>
        <v>0.83524904214559392</v>
      </c>
      <c r="T53" s="17"/>
      <c r="U53" s="29">
        <v>2689172</v>
      </c>
      <c r="V53" s="37">
        <v>209387435.44</v>
      </c>
      <c r="W53" s="29">
        <v>9442</v>
      </c>
      <c r="X53" s="37">
        <v>2046400.3100000005</v>
      </c>
      <c r="Y53" s="29">
        <v>2894708</v>
      </c>
      <c r="Z53" s="37">
        <v>243021025.54000002</v>
      </c>
      <c r="AA53" s="29">
        <v>12128</v>
      </c>
      <c r="AB53" s="37">
        <v>2225962.7599999998</v>
      </c>
      <c r="AC53" s="29">
        <v>3135445</v>
      </c>
      <c r="AD53" s="37">
        <v>249876790.96999994</v>
      </c>
      <c r="AE53" s="29">
        <v>9289</v>
      </c>
      <c r="AF53" s="37">
        <v>2347287.4700000002</v>
      </c>
      <c r="AG53" s="37">
        <v>3240700</v>
      </c>
      <c r="AH53" s="37">
        <v>282596116.08000004</v>
      </c>
      <c r="AI53" s="29">
        <v>11025</v>
      </c>
      <c r="AJ53" s="37">
        <v>2491210.1699999995</v>
      </c>
      <c r="AK53" s="131">
        <f>SUM(AK6:AK51)</f>
        <v>3353702</v>
      </c>
      <c r="AL53" s="131">
        <f t="shared" ref="AL53:AN53" si="3">SUM(AL6:AL51)</f>
        <v>305196543.88</v>
      </c>
      <c r="AM53" s="131">
        <f t="shared" si="3"/>
        <v>11239</v>
      </c>
      <c r="AN53" s="131">
        <f t="shared" si="3"/>
        <v>2396525.3400000003</v>
      </c>
      <c r="AO53" s="17"/>
      <c r="AP53" s="29">
        <v>1316</v>
      </c>
      <c r="AQ53" s="29">
        <v>660</v>
      </c>
      <c r="AR53" s="28">
        <v>0.50151975683890582</v>
      </c>
      <c r="AS53" s="29">
        <v>1508</v>
      </c>
      <c r="AT53" s="29">
        <v>1009</v>
      </c>
      <c r="AU53" s="28">
        <v>0.66909814323607431</v>
      </c>
      <c r="AV53" s="29">
        <v>1380</v>
      </c>
      <c r="AW53" s="29">
        <v>889</v>
      </c>
      <c r="AX53" s="28">
        <v>0.64420289855072466</v>
      </c>
      <c r="AY53" s="131">
        <f>SUM(AY6:AY51)</f>
        <v>1450</v>
      </c>
      <c r="AZ53" s="131">
        <f>SUM(AZ6:AZ51)</f>
        <v>955</v>
      </c>
      <c r="BA53" s="105">
        <f>AZ53/AY53</f>
        <v>0.6586206896551724</v>
      </c>
      <c r="BB53" s="214"/>
      <c r="BC53" s="293"/>
      <c r="BD53" s="294"/>
    </row>
    <row r="54" spans="1:56" ht="15.75" thickTop="1" x14ac:dyDescent="0.25">
      <c r="BB54" s="214"/>
      <c r="BC54" s="293"/>
      <c r="BD54" s="294"/>
    </row>
    <row r="55" spans="1:56" x14ac:dyDescent="0.25">
      <c r="BB55" s="214"/>
      <c r="BC55" s="293"/>
      <c r="BD55" s="294"/>
    </row>
    <row r="56" spans="1:56" x14ac:dyDescent="0.25">
      <c r="BB56" s="214"/>
      <c r="BC56" s="293"/>
      <c r="BD56" s="294"/>
    </row>
    <row r="57" spans="1:56" x14ac:dyDescent="0.25">
      <c r="BB57" s="214"/>
      <c r="BC57" s="293"/>
      <c r="BD57" s="294"/>
    </row>
    <row r="58" spans="1:56" x14ac:dyDescent="0.25">
      <c r="BC58" s="293"/>
      <c r="BD58" s="294"/>
    </row>
    <row r="59" spans="1:56" x14ac:dyDescent="0.25">
      <c r="BC59" s="293"/>
      <c r="BD59" s="294"/>
    </row>
    <row r="60" spans="1:56" x14ac:dyDescent="0.25">
      <c r="BC60" s="293"/>
      <c r="BD60" s="294"/>
    </row>
    <row r="61" spans="1:56" x14ac:dyDescent="0.25">
      <c r="BC61" s="293"/>
      <c r="BD61" s="294"/>
    </row>
    <row r="62" spans="1:56" x14ac:dyDescent="0.25">
      <c r="BC62" s="293"/>
      <c r="BD62" s="294"/>
    </row>
    <row r="63" spans="1:56" x14ac:dyDescent="0.25">
      <c r="BC63" s="293"/>
      <c r="BD63" s="294"/>
    </row>
    <row r="64" spans="1:56" x14ac:dyDescent="0.25">
      <c r="BC64" s="293"/>
      <c r="BD64" s="294"/>
    </row>
    <row r="65" spans="55:56" x14ac:dyDescent="0.25">
      <c r="BC65" s="293"/>
      <c r="BD65" s="294"/>
    </row>
    <row r="66" spans="55:56" x14ac:dyDescent="0.25">
      <c r="BC66" s="293"/>
      <c r="BD66" s="294"/>
    </row>
    <row r="67" spans="55:56" x14ac:dyDescent="0.25">
      <c r="BC67" s="293"/>
      <c r="BD67" s="294"/>
    </row>
    <row r="68" spans="55:56" x14ac:dyDescent="0.25">
      <c r="BC68" s="293"/>
      <c r="BD68" s="294"/>
    </row>
    <row r="69" spans="55:56" x14ac:dyDescent="0.25">
      <c r="BC69" s="293"/>
      <c r="BD69" s="294"/>
    </row>
    <row r="70" spans="55:56" x14ac:dyDescent="0.25">
      <c r="BC70" s="293"/>
      <c r="BD70" s="294"/>
    </row>
    <row r="71" spans="55:56" x14ac:dyDescent="0.25">
      <c r="BC71" s="293"/>
      <c r="BD71" s="294"/>
    </row>
    <row r="72" spans="55:56" x14ac:dyDescent="0.25">
      <c r="BC72" s="293"/>
      <c r="BD72" s="294"/>
    </row>
    <row r="73" spans="55:56" x14ac:dyDescent="0.25">
      <c r="BC73" s="293"/>
      <c r="BD73" s="294"/>
    </row>
    <row r="74" spans="55:56" x14ac:dyDescent="0.25">
      <c r="BC74" s="293"/>
      <c r="BD74" s="294"/>
    </row>
    <row r="75" spans="55:56" x14ac:dyDescent="0.25">
      <c r="BC75" s="293"/>
      <c r="BD75" s="294"/>
    </row>
  </sheetData>
  <sortState ref="BC6:BE61">
    <sortCondition ref="BC6"/>
  </sortState>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G54"/>
  <sheetViews>
    <sheetView workbookViewId="0">
      <pane xSplit="1" ySplit="5" topLeftCell="S6" activePane="bottomRight" state="frozen"/>
      <selection activeCell="C8" sqref="C8"/>
      <selection pane="topRight" activeCell="C8" sqref="C8"/>
      <selection pane="bottomLeft" activeCell="C8" sqref="C8"/>
      <selection pane="bottomRight" activeCell="C8" sqref="C8"/>
    </sheetView>
  </sheetViews>
  <sheetFormatPr defaultRowHeight="15" x14ac:dyDescent="0.25"/>
  <cols>
    <col min="1" max="1" width="49.28515625" bestFit="1" customWidth="1"/>
    <col min="2" max="7" width="12.5703125" bestFit="1" customWidth="1"/>
    <col min="8" max="8" width="2.7109375" customWidth="1"/>
    <col min="10" max="10" width="12.28515625" bestFit="1" customWidth="1"/>
    <col min="12" max="12" width="12.28515625" bestFit="1" customWidth="1"/>
    <col min="14" max="14" width="12.28515625" bestFit="1" customWidth="1"/>
    <col min="16" max="16" width="12.28515625" bestFit="1" customWidth="1"/>
    <col min="18" max="18" width="12.28515625" bestFit="1" customWidth="1"/>
    <col min="20" max="20" width="12.28515625" bestFit="1" customWidth="1"/>
    <col min="21" max="21" width="2.7109375" customWidth="1"/>
    <col min="23" max="23" width="11.5703125" bestFit="1" customWidth="1"/>
    <col min="25" max="25" width="11.5703125" bestFit="1" customWidth="1"/>
    <col min="27" max="27" width="11.5703125" bestFit="1" customWidth="1"/>
    <col min="29" max="29" width="11.5703125" bestFit="1" customWidth="1"/>
    <col min="31" max="31" width="27.7109375" customWidth="1"/>
  </cols>
  <sheetData>
    <row r="1" spans="1:33" x14ac:dyDescent="0.25">
      <c r="A1" s="30">
        <v>1</v>
      </c>
      <c r="B1" s="30">
        <v>2</v>
      </c>
      <c r="C1" s="30">
        <v>3</v>
      </c>
      <c r="D1" s="30">
        <v>4</v>
      </c>
      <c r="E1" s="30">
        <v>5</v>
      </c>
      <c r="F1" s="30">
        <v>6</v>
      </c>
      <c r="G1" s="30">
        <v>7</v>
      </c>
      <c r="H1" s="30">
        <v>8</v>
      </c>
      <c r="I1" s="30">
        <v>9</v>
      </c>
      <c r="J1" s="30">
        <v>10</v>
      </c>
      <c r="K1" s="30">
        <v>11</v>
      </c>
      <c r="L1" s="30">
        <v>12</v>
      </c>
      <c r="M1" s="30">
        <v>13</v>
      </c>
      <c r="N1" s="30">
        <v>14</v>
      </c>
      <c r="O1" s="30">
        <v>15</v>
      </c>
      <c r="P1" s="30">
        <v>16</v>
      </c>
      <c r="Q1" s="30">
        <v>17</v>
      </c>
      <c r="R1" s="30">
        <v>18</v>
      </c>
      <c r="S1" s="30">
        <v>19</v>
      </c>
      <c r="T1" s="30">
        <v>20</v>
      </c>
      <c r="U1" s="30">
        <v>21</v>
      </c>
      <c r="V1" s="30">
        <v>22</v>
      </c>
      <c r="W1" s="30">
        <v>23</v>
      </c>
      <c r="X1" s="30">
        <v>24</v>
      </c>
      <c r="Y1" s="30">
        <v>25</v>
      </c>
      <c r="Z1" s="30">
        <v>26</v>
      </c>
      <c r="AA1" s="30">
        <v>27</v>
      </c>
      <c r="AB1" s="30">
        <v>28</v>
      </c>
      <c r="AC1" s="30">
        <v>29</v>
      </c>
    </row>
    <row r="2" spans="1:33" x14ac:dyDescent="0.25">
      <c r="B2" s="48" t="s">
        <v>102</v>
      </c>
      <c r="C2" s="48"/>
      <c r="D2" s="48"/>
      <c r="E2" s="48"/>
      <c r="F2" s="48"/>
      <c r="G2" s="48"/>
      <c r="H2" s="39"/>
      <c r="I2" s="47"/>
      <c r="J2" s="48"/>
      <c r="K2" s="47"/>
      <c r="L2" s="48"/>
      <c r="M2" s="47"/>
      <c r="N2" s="48"/>
      <c r="O2" s="47"/>
      <c r="P2" s="48"/>
      <c r="Q2" s="47"/>
      <c r="R2" s="48"/>
      <c r="S2" s="47"/>
      <c r="T2" s="48"/>
      <c r="U2" s="39"/>
      <c r="V2" s="48" t="s">
        <v>158</v>
      </c>
      <c r="W2" s="48"/>
      <c r="X2" s="48"/>
      <c r="Y2" s="48"/>
      <c r="Z2" s="48"/>
      <c r="AA2" s="48"/>
      <c r="AB2" s="47"/>
      <c r="AC2" s="48"/>
    </row>
    <row r="3" spans="1:33" ht="36.75" customHeight="1" x14ac:dyDescent="0.25">
      <c r="B3" s="52" t="s">
        <v>157</v>
      </c>
      <c r="C3" s="52"/>
      <c r="D3" s="52"/>
      <c r="E3" s="52"/>
      <c r="F3" s="52"/>
      <c r="G3" s="52"/>
      <c r="H3" s="78"/>
      <c r="I3" s="52" t="s">
        <v>63</v>
      </c>
      <c r="J3" s="52"/>
      <c r="K3" s="52"/>
      <c r="L3" s="52"/>
      <c r="M3" s="52"/>
      <c r="N3" s="52"/>
      <c r="O3" s="52"/>
      <c r="P3" s="52"/>
      <c r="Q3" s="52"/>
      <c r="R3" s="52"/>
      <c r="S3" s="52"/>
      <c r="T3" s="52"/>
      <c r="U3" s="78"/>
      <c r="V3" s="52"/>
      <c r="W3" s="52"/>
      <c r="X3" s="52"/>
      <c r="Y3" s="52"/>
      <c r="Z3" s="52"/>
      <c r="AA3" s="52"/>
      <c r="AB3" s="52"/>
      <c r="AC3" s="52"/>
    </row>
    <row r="4" spans="1:33" x14ac:dyDescent="0.25">
      <c r="B4" s="16">
        <v>2014</v>
      </c>
      <c r="C4" s="16">
        <v>2015</v>
      </c>
      <c r="D4" s="16">
        <v>2016</v>
      </c>
      <c r="E4" s="16">
        <v>2017</v>
      </c>
      <c r="F4" s="16">
        <v>2018</v>
      </c>
      <c r="G4" s="16">
        <v>2019</v>
      </c>
      <c r="H4" s="17"/>
      <c r="I4" s="45">
        <v>2014</v>
      </c>
      <c r="J4" s="45">
        <v>2014</v>
      </c>
      <c r="K4" s="45">
        <v>2015</v>
      </c>
      <c r="L4" s="45">
        <v>2015</v>
      </c>
      <c r="M4" s="45">
        <v>2016</v>
      </c>
      <c r="N4" s="45">
        <v>2016</v>
      </c>
      <c r="O4" s="45">
        <v>2017</v>
      </c>
      <c r="P4" s="45">
        <v>2017</v>
      </c>
      <c r="Q4" s="45">
        <v>2018</v>
      </c>
      <c r="R4" s="45">
        <v>2018</v>
      </c>
      <c r="S4" s="45">
        <v>2019</v>
      </c>
      <c r="T4" s="45">
        <v>2019</v>
      </c>
      <c r="U4" s="17"/>
      <c r="V4" s="45">
        <v>2016</v>
      </c>
      <c r="W4" s="45">
        <v>2016</v>
      </c>
      <c r="X4" s="45">
        <v>2017</v>
      </c>
      <c r="Y4" s="45">
        <v>2017</v>
      </c>
      <c r="Z4" s="45">
        <v>2018</v>
      </c>
      <c r="AA4" s="45">
        <v>2018</v>
      </c>
      <c r="AB4" s="45">
        <v>2019</v>
      </c>
      <c r="AC4" s="45">
        <v>2019</v>
      </c>
      <c r="AE4" t="s">
        <v>386</v>
      </c>
      <c r="AF4" t="s">
        <v>48</v>
      </c>
      <c r="AG4" t="s">
        <v>50</v>
      </c>
    </row>
    <row r="5" spans="1:33" ht="18" customHeight="1" x14ac:dyDescent="0.25">
      <c r="A5" s="41" t="s">
        <v>45</v>
      </c>
      <c r="B5" s="42" t="s">
        <v>50</v>
      </c>
      <c r="C5" s="42" t="s">
        <v>50</v>
      </c>
      <c r="D5" s="42" t="s">
        <v>50</v>
      </c>
      <c r="E5" s="42" t="s">
        <v>50</v>
      </c>
      <c r="F5" s="42" t="s">
        <v>50</v>
      </c>
      <c r="G5" s="42" t="s">
        <v>50</v>
      </c>
      <c r="H5" s="43"/>
      <c r="I5" s="42" t="s">
        <v>48</v>
      </c>
      <c r="J5" s="42" t="s">
        <v>50</v>
      </c>
      <c r="K5" s="42" t="s">
        <v>48</v>
      </c>
      <c r="L5" s="42" t="s">
        <v>50</v>
      </c>
      <c r="M5" s="42" t="s">
        <v>48</v>
      </c>
      <c r="N5" s="42" t="s">
        <v>50</v>
      </c>
      <c r="O5" s="42" t="s">
        <v>48</v>
      </c>
      <c r="P5" s="42" t="s">
        <v>50</v>
      </c>
      <c r="Q5" s="42" t="s">
        <v>48</v>
      </c>
      <c r="R5" s="42" t="s">
        <v>50</v>
      </c>
      <c r="S5" s="42" t="s">
        <v>48</v>
      </c>
      <c r="T5" s="42" t="s">
        <v>50</v>
      </c>
      <c r="U5" s="43"/>
      <c r="V5" s="42" t="s">
        <v>48</v>
      </c>
      <c r="W5" s="42" t="s">
        <v>50</v>
      </c>
      <c r="X5" s="42" t="s">
        <v>48</v>
      </c>
      <c r="Y5" s="42" t="s">
        <v>50</v>
      </c>
      <c r="Z5" s="42" t="s">
        <v>48</v>
      </c>
      <c r="AA5" s="42" t="s">
        <v>50</v>
      </c>
      <c r="AB5" s="42" t="s">
        <v>48</v>
      </c>
      <c r="AC5" s="42" t="s">
        <v>50</v>
      </c>
    </row>
    <row r="6" spans="1:33" x14ac:dyDescent="0.25">
      <c r="A6" s="17" t="s">
        <v>0</v>
      </c>
      <c r="B6" s="36">
        <v>11538356.469999999</v>
      </c>
      <c r="C6" s="36">
        <v>5463717.2699999996</v>
      </c>
      <c r="D6" s="36">
        <v>2562992</v>
      </c>
      <c r="E6" s="36">
        <v>2632643.0700000008</v>
      </c>
      <c r="F6" s="36">
        <v>1929272.6899999997</v>
      </c>
      <c r="G6" s="115">
        <v>2168573.3300000005</v>
      </c>
      <c r="H6" s="17"/>
      <c r="I6" s="46">
        <v>11</v>
      </c>
      <c r="J6" s="18">
        <v>-214143.39</v>
      </c>
      <c r="K6" s="46">
        <v>16</v>
      </c>
      <c r="L6" s="18">
        <v>-185412.11</v>
      </c>
      <c r="M6" s="46">
        <v>17</v>
      </c>
      <c r="N6" s="18">
        <v>-70712.7</v>
      </c>
      <c r="O6" s="46">
        <v>16</v>
      </c>
      <c r="P6" s="18">
        <v>-10600.330000000002</v>
      </c>
      <c r="Q6" s="46">
        <v>3</v>
      </c>
      <c r="R6" s="18">
        <v>-99.27000000000001</v>
      </c>
      <c r="S6" s="133">
        <v>10</v>
      </c>
      <c r="T6" s="135">
        <v>-7955.4400000000005</v>
      </c>
      <c r="U6" s="17"/>
      <c r="V6" s="46">
        <v>9</v>
      </c>
      <c r="W6" s="18">
        <v>30946.199999999997</v>
      </c>
      <c r="X6" s="46">
        <v>8</v>
      </c>
      <c r="Y6" s="18">
        <v>34012.89</v>
      </c>
      <c r="Z6" s="46">
        <v>9</v>
      </c>
      <c r="AA6" s="18">
        <v>22913.93</v>
      </c>
      <c r="AB6" s="133">
        <v>11</v>
      </c>
      <c r="AC6" s="135">
        <v>83278.710000000006</v>
      </c>
      <c r="AD6" s="214" t="str">
        <f>IF(AE6=A6,"OK","No")</f>
        <v>No</v>
      </c>
      <c r="AE6" t="s">
        <v>383</v>
      </c>
      <c r="AF6">
        <v>11</v>
      </c>
      <c r="AG6">
        <v>83278.710000000006</v>
      </c>
    </row>
    <row r="7" spans="1:33" x14ac:dyDescent="0.25">
      <c r="A7" s="17" t="s">
        <v>26</v>
      </c>
      <c r="B7" s="36">
        <v>5466369.0399999991</v>
      </c>
      <c r="C7" s="36">
        <v>6297748.7900000056</v>
      </c>
      <c r="D7" s="36">
        <v>8760940.5299999937</v>
      </c>
      <c r="E7" s="36">
        <v>12595752.529999994</v>
      </c>
      <c r="F7" s="36">
        <v>14239669.42</v>
      </c>
      <c r="G7" s="115">
        <v>9361543.0000000056</v>
      </c>
      <c r="H7" s="17"/>
      <c r="I7" s="46">
        <v>1</v>
      </c>
      <c r="J7" s="18">
        <v>-1476448.53</v>
      </c>
      <c r="K7" s="46">
        <v>0</v>
      </c>
      <c r="L7" s="18">
        <v>0</v>
      </c>
      <c r="M7" s="46">
        <v>10</v>
      </c>
      <c r="N7" s="18">
        <v>-133691.03</v>
      </c>
      <c r="O7" s="46">
        <v>13</v>
      </c>
      <c r="P7" s="18">
        <v>-101029.91</v>
      </c>
      <c r="Q7" s="46">
        <v>8</v>
      </c>
      <c r="R7" s="18">
        <v>-165527.32</v>
      </c>
      <c r="S7" s="133">
        <v>14</v>
      </c>
      <c r="T7" s="135">
        <v>-102708.85</v>
      </c>
      <c r="U7" s="17"/>
      <c r="V7" s="46">
        <v>6</v>
      </c>
      <c r="W7" s="18">
        <v>246453.26</v>
      </c>
      <c r="X7" s="46">
        <v>4</v>
      </c>
      <c r="Y7" s="18">
        <v>215978.69</v>
      </c>
      <c r="Z7" s="46">
        <v>4</v>
      </c>
      <c r="AA7" s="18">
        <v>158187.24</v>
      </c>
      <c r="AB7" s="133">
        <v>5</v>
      </c>
      <c r="AC7" s="135">
        <v>850025.47</v>
      </c>
      <c r="AD7" s="214" t="str">
        <f t="shared" ref="AD7:AD51" si="0">IF(AE7=A7,"OK","No")</f>
        <v>OK</v>
      </c>
      <c r="AE7" t="s">
        <v>26</v>
      </c>
      <c r="AF7">
        <v>5</v>
      </c>
      <c r="AG7">
        <v>850025.47</v>
      </c>
    </row>
    <row r="8" spans="1:33" x14ac:dyDescent="0.25">
      <c r="A8" s="17" t="s">
        <v>1</v>
      </c>
      <c r="B8" s="36">
        <v>48422449.689999998</v>
      </c>
      <c r="C8" s="36">
        <v>51050276.920000002</v>
      </c>
      <c r="D8" s="36">
        <v>46839236</v>
      </c>
      <c r="E8" s="36">
        <v>52735717.430000074</v>
      </c>
      <c r="F8" s="36">
        <v>54196182.95000007</v>
      </c>
      <c r="G8" s="115">
        <v>64181616.110000022</v>
      </c>
      <c r="H8" s="17"/>
      <c r="I8" s="46">
        <v>150</v>
      </c>
      <c r="J8" s="18">
        <v>-1817034.0999999999</v>
      </c>
      <c r="K8" s="46">
        <v>136</v>
      </c>
      <c r="L8" s="18">
        <v>-1413921.8499999996</v>
      </c>
      <c r="M8" s="46">
        <v>172</v>
      </c>
      <c r="N8" s="18">
        <v>-1316709.78</v>
      </c>
      <c r="O8" s="46">
        <v>202</v>
      </c>
      <c r="P8" s="18">
        <v>-1682598.330000001</v>
      </c>
      <c r="Q8" s="46">
        <v>180</v>
      </c>
      <c r="R8" s="18">
        <v>-1366512.55</v>
      </c>
      <c r="S8" s="133">
        <v>171</v>
      </c>
      <c r="T8" s="135">
        <v>-1141631.5600000003</v>
      </c>
      <c r="U8" s="17"/>
      <c r="V8" s="46">
        <v>143</v>
      </c>
      <c r="W8" s="18">
        <v>2101786.1</v>
      </c>
      <c r="X8" s="46">
        <v>151</v>
      </c>
      <c r="Y8" s="18">
        <v>1950979.1</v>
      </c>
      <c r="Z8" s="46">
        <v>163</v>
      </c>
      <c r="AA8" s="18">
        <v>2923394.32</v>
      </c>
      <c r="AB8" s="133">
        <v>181</v>
      </c>
      <c r="AC8" s="135">
        <v>5067640.3</v>
      </c>
      <c r="AD8" s="214" t="str">
        <f t="shared" si="0"/>
        <v>OK</v>
      </c>
      <c r="AE8" t="s">
        <v>1</v>
      </c>
      <c r="AF8">
        <v>181</v>
      </c>
      <c r="AG8">
        <v>5067640.3</v>
      </c>
    </row>
    <row r="9" spans="1:33" x14ac:dyDescent="0.25">
      <c r="A9" s="17" t="s">
        <v>2</v>
      </c>
      <c r="B9" s="36">
        <v>58053969.150000036</v>
      </c>
      <c r="C9" s="36">
        <v>56923245.460000008</v>
      </c>
      <c r="D9" s="36">
        <v>65204516</v>
      </c>
      <c r="E9" s="36">
        <v>72235331.470000029</v>
      </c>
      <c r="F9" s="36">
        <v>81829732.570000127</v>
      </c>
      <c r="G9" s="115">
        <v>94232366.069999859</v>
      </c>
      <c r="H9" s="17"/>
      <c r="I9" s="46">
        <v>161</v>
      </c>
      <c r="J9" s="18">
        <v>-1406456.57</v>
      </c>
      <c r="K9" s="46">
        <v>182</v>
      </c>
      <c r="L9" s="18">
        <v>-2100372.48</v>
      </c>
      <c r="M9" s="46">
        <v>202</v>
      </c>
      <c r="N9" s="18">
        <v>-2603309.7099999995</v>
      </c>
      <c r="O9" s="46">
        <v>243</v>
      </c>
      <c r="P9" s="18">
        <v>-3075875.8999999976</v>
      </c>
      <c r="Q9" s="46">
        <v>209</v>
      </c>
      <c r="R9" s="18">
        <v>-3290010.9100000015</v>
      </c>
      <c r="S9" s="133">
        <v>197</v>
      </c>
      <c r="T9" s="135">
        <v>-2712329.1299999994</v>
      </c>
      <c r="U9" s="17"/>
      <c r="V9" s="46">
        <v>183</v>
      </c>
      <c r="W9" s="18">
        <v>1995531.34</v>
      </c>
      <c r="X9" s="46">
        <v>206</v>
      </c>
      <c r="Y9" s="18">
        <v>2738252.3200000003</v>
      </c>
      <c r="Z9" s="46">
        <v>212</v>
      </c>
      <c r="AA9" s="18">
        <v>3227097.9500000007</v>
      </c>
      <c r="AB9" s="133">
        <v>201</v>
      </c>
      <c r="AC9" s="135">
        <v>4356030.9399999995</v>
      </c>
      <c r="AD9" s="214" t="str">
        <f t="shared" si="0"/>
        <v>OK</v>
      </c>
      <c r="AE9" t="s">
        <v>2</v>
      </c>
      <c r="AF9">
        <v>201</v>
      </c>
      <c r="AG9">
        <v>4356030.9399999995</v>
      </c>
    </row>
    <row r="10" spans="1:33" x14ac:dyDescent="0.25">
      <c r="A10" s="17" t="s">
        <v>3</v>
      </c>
      <c r="B10" s="36">
        <v>10525827.76</v>
      </c>
      <c r="C10" s="36">
        <v>10078685.689999999</v>
      </c>
      <c r="D10" s="36">
        <v>10074053</v>
      </c>
      <c r="E10" s="36">
        <v>10391631.709999999</v>
      </c>
      <c r="F10" s="36">
        <v>7216239.8699999992</v>
      </c>
      <c r="G10" s="115">
        <v>7430436.6100000022</v>
      </c>
      <c r="H10" s="17"/>
      <c r="I10" s="46">
        <v>20</v>
      </c>
      <c r="J10" s="18">
        <v>-128231.20000000001</v>
      </c>
      <c r="K10" s="46">
        <v>18</v>
      </c>
      <c r="L10" s="18">
        <v>-102667.72</v>
      </c>
      <c r="M10" s="46">
        <v>26</v>
      </c>
      <c r="N10" s="18">
        <v>-40993.61</v>
      </c>
      <c r="O10" s="46">
        <v>26</v>
      </c>
      <c r="P10" s="18">
        <v>-49042.8</v>
      </c>
      <c r="Q10" s="46">
        <v>32</v>
      </c>
      <c r="R10" s="18">
        <v>-282051.61</v>
      </c>
      <c r="S10" s="133">
        <v>23</v>
      </c>
      <c r="T10" s="135">
        <v>-197726.69000000006</v>
      </c>
      <c r="U10" s="17"/>
      <c r="V10" s="46">
        <v>6</v>
      </c>
      <c r="W10" s="18">
        <v>1435548.47</v>
      </c>
      <c r="X10" s="46">
        <v>5</v>
      </c>
      <c r="Y10" s="18">
        <v>1588956.56</v>
      </c>
      <c r="Z10" s="46">
        <v>3</v>
      </c>
      <c r="AA10" s="18">
        <v>8943.36</v>
      </c>
      <c r="AB10" s="133">
        <v>6</v>
      </c>
      <c r="AC10" s="135">
        <v>33199.949999999997</v>
      </c>
      <c r="AD10" s="214" t="str">
        <f t="shared" si="0"/>
        <v>OK</v>
      </c>
      <c r="AE10" t="s">
        <v>3</v>
      </c>
      <c r="AF10">
        <v>6</v>
      </c>
      <c r="AG10">
        <v>33199.949999999997</v>
      </c>
    </row>
    <row r="11" spans="1:33" x14ac:dyDescent="0.25">
      <c r="A11" s="17" t="s">
        <v>33</v>
      </c>
      <c r="B11" s="36">
        <v>0</v>
      </c>
      <c r="C11" s="36">
        <v>0</v>
      </c>
      <c r="D11" s="36">
        <v>0</v>
      </c>
      <c r="E11" s="36"/>
      <c r="F11" s="36"/>
      <c r="G11" s="115"/>
      <c r="H11" s="17"/>
      <c r="I11" s="46">
        <v>0</v>
      </c>
      <c r="J11" s="18">
        <v>0</v>
      </c>
      <c r="K11" s="46">
        <v>0</v>
      </c>
      <c r="L11" s="18">
        <v>0</v>
      </c>
      <c r="M11" s="46">
        <v>0</v>
      </c>
      <c r="N11" s="18">
        <v>0</v>
      </c>
      <c r="O11" s="46"/>
      <c r="P11" s="18"/>
      <c r="Q11" s="46"/>
      <c r="R11" s="18"/>
      <c r="S11" s="133"/>
      <c r="T11" s="135"/>
      <c r="U11" s="17"/>
      <c r="V11" s="46"/>
      <c r="W11" s="18"/>
      <c r="X11" s="46"/>
      <c r="Y11" s="18"/>
      <c r="Z11" s="46"/>
      <c r="AA11" s="18"/>
      <c r="AB11" s="133"/>
      <c r="AC11" s="135"/>
      <c r="AD11" s="214" t="str">
        <f t="shared" si="0"/>
        <v>OK</v>
      </c>
      <c r="AE11" t="s">
        <v>33</v>
      </c>
    </row>
    <row r="12" spans="1:33" x14ac:dyDescent="0.25">
      <c r="A12" s="17" t="s">
        <v>23</v>
      </c>
      <c r="B12" s="36">
        <v>2516783.5199999991</v>
      </c>
      <c r="C12" s="36">
        <v>3066869.09</v>
      </c>
      <c r="D12" s="36">
        <v>2049539</v>
      </c>
      <c r="E12" s="36">
        <v>2255311.1299999994</v>
      </c>
      <c r="F12" s="36">
        <v>3509531.620000001</v>
      </c>
      <c r="G12" s="115">
        <v>4235794.92</v>
      </c>
      <c r="H12" s="17"/>
      <c r="I12" s="46">
        <v>21</v>
      </c>
      <c r="J12" s="18">
        <v>-81578.41</v>
      </c>
      <c r="K12" s="46">
        <v>20</v>
      </c>
      <c r="L12" s="18">
        <v>-87726.45</v>
      </c>
      <c r="M12" s="46">
        <v>21</v>
      </c>
      <c r="N12" s="18">
        <v>-83144.039999999994</v>
      </c>
      <c r="O12" s="46">
        <v>22</v>
      </c>
      <c r="P12" s="18">
        <v>-91563.72</v>
      </c>
      <c r="Q12" s="46">
        <v>18</v>
      </c>
      <c r="R12" s="18">
        <v>-71990.570000000007</v>
      </c>
      <c r="S12" s="133">
        <v>21</v>
      </c>
      <c r="T12" s="135">
        <v>-166050.81000000003</v>
      </c>
      <c r="U12" s="17"/>
      <c r="V12" s="46">
        <v>28</v>
      </c>
      <c r="W12" s="18">
        <v>128487.69000000002</v>
      </c>
      <c r="X12" s="46">
        <v>27</v>
      </c>
      <c r="Y12" s="18">
        <v>151151.56000000003</v>
      </c>
      <c r="Z12" s="46">
        <v>28</v>
      </c>
      <c r="AA12" s="18">
        <v>189372</v>
      </c>
      <c r="AB12" s="133">
        <v>27</v>
      </c>
      <c r="AC12" s="135">
        <v>95812.5</v>
      </c>
      <c r="AD12" s="214" t="str">
        <f t="shared" si="0"/>
        <v>No</v>
      </c>
      <c r="AE12" t="s">
        <v>388</v>
      </c>
      <c r="AF12">
        <v>27</v>
      </c>
      <c r="AG12">
        <v>95812.5</v>
      </c>
    </row>
    <row r="13" spans="1:33" x14ac:dyDescent="0.25">
      <c r="A13" s="17" t="s">
        <v>4</v>
      </c>
      <c r="B13" s="36">
        <v>32815846.689999998</v>
      </c>
      <c r="C13" s="36">
        <v>40168607.129999995</v>
      </c>
      <c r="D13" s="36">
        <v>44030288</v>
      </c>
      <c r="E13" s="36">
        <v>46777509.130000018</v>
      </c>
      <c r="F13" s="36">
        <v>41359880.289999999</v>
      </c>
      <c r="G13" s="115">
        <v>49894102.720000029</v>
      </c>
      <c r="H13" s="17"/>
      <c r="I13" s="46">
        <v>35</v>
      </c>
      <c r="J13" s="18">
        <v>-491173.20000000007</v>
      </c>
      <c r="K13" s="46">
        <v>43</v>
      </c>
      <c r="L13" s="18">
        <v>-707037.79</v>
      </c>
      <c r="M13" s="46">
        <v>57</v>
      </c>
      <c r="N13" s="18">
        <v>-969119.4700000002</v>
      </c>
      <c r="O13" s="46">
        <v>51</v>
      </c>
      <c r="P13" s="18">
        <v>-1105356.7599999998</v>
      </c>
      <c r="Q13" s="46">
        <v>41</v>
      </c>
      <c r="R13" s="18">
        <v>-1028065.0499999999</v>
      </c>
      <c r="S13" s="133">
        <v>35</v>
      </c>
      <c r="T13" s="135">
        <v>-701723.6100000001</v>
      </c>
      <c r="U13" s="17"/>
      <c r="V13" s="46">
        <v>55</v>
      </c>
      <c r="W13" s="18">
        <v>3452982.02</v>
      </c>
      <c r="X13" s="46">
        <v>59</v>
      </c>
      <c r="Y13" s="18">
        <v>4309799.03</v>
      </c>
      <c r="Z13" s="46">
        <v>56</v>
      </c>
      <c r="AA13" s="18">
        <v>4589311.93</v>
      </c>
      <c r="AB13" s="133">
        <v>73</v>
      </c>
      <c r="AC13" s="135">
        <v>6044213.1799999997</v>
      </c>
      <c r="AD13" s="214" t="str">
        <f t="shared" si="0"/>
        <v>OK</v>
      </c>
      <c r="AE13" t="s">
        <v>4</v>
      </c>
      <c r="AF13">
        <v>73</v>
      </c>
      <c r="AG13">
        <v>6044213.1799999997</v>
      </c>
    </row>
    <row r="14" spans="1:33" x14ac:dyDescent="0.25">
      <c r="A14" s="17" t="s">
        <v>28</v>
      </c>
      <c r="B14" s="36">
        <v>785355.95</v>
      </c>
      <c r="C14" s="36">
        <v>775816.05</v>
      </c>
      <c r="D14" s="36">
        <v>348431.91000000003</v>
      </c>
      <c r="E14" s="36">
        <v>264247.56</v>
      </c>
      <c r="F14" s="36">
        <v>196086.72</v>
      </c>
      <c r="G14" s="115">
        <v>142240.08999999997</v>
      </c>
      <c r="H14" s="17"/>
      <c r="I14" s="46">
        <v>1</v>
      </c>
      <c r="J14" s="18">
        <v>-25751.33</v>
      </c>
      <c r="K14" s="46">
        <v>1</v>
      </c>
      <c r="L14" s="18">
        <v>-25751.33</v>
      </c>
      <c r="M14" s="46">
        <v>1</v>
      </c>
      <c r="N14" s="18">
        <v>-25751.33</v>
      </c>
      <c r="O14" s="46">
        <v>2</v>
      </c>
      <c r="P14" s="18">
        <v>-102831.01</v>
      </c>
      <c r="Q14" s="46">
        <v>2</v>
      </c>
      <c r="R14" s="18">
        <v>-25783.030000000002</v>
      </c>
      <c r="S14" s="133">
        <v>3</v>
      </c>
      <c r="T14" s="135">
        <v>-103422.81</v>
      </c>
      <c r="U14" s="17"/>
      <c r="V14" s="46">
        <v>6</v>
      </c>
      <c r="W14" s="18">
        <v>150615.66</v>
      </c>
      <c r="X14" s="46">
        <v>7</v>
      </c>
      <c r="Y14" s="18">
        <v>178190.64</v>
      </c>
      <c r="Z14" s="46">
        <v>3</v>
      </c>
      <c r="AA14" s="18">
        <v>557.14999999999782</v>
      </c>
      <c r="AB14" s="133">
        <v>8</v>
      </c>
      <c r="AC14" s="135">
        <v>181880.83999999997</v>
      </c>
      <c r="AD14" s="214" t="str">
        <f t="shared" si="0"/>
        <v>OK</v>
      </c>
      <c r="AE14" t="s">
        <v>28</v>
      </c>
      <c r="AF14">
        <v>8</v>
      </c>
      <c r="AG14">
        <v>181880.83999999997</v>
      </c>
    </row>
    <row r="15" spans="1:33" x14ac:dyDescent="0.25">
      <c r="A15" s="17" t="s">
        <v>29</v>
      </c>
      <c r="B15" s="36">
        <v>0</v>
      </c>
      <c r="C15" s="36">
        <v>0</v>
      </c>
      <c r="D15" s="36">
        <v>0</v>
      </c>
      <c r="E15" s="36">
        <v>0</v>
      </c>
      <c r="F15" s="36">
        <v>0</v>
      </c>
      <c r="G15" s="115">
        <v>0</v>
      </c>
      <c r="H15" s="17"/>
      <c r="I15" s="46">
        <v>0</v>
      </c>
      <c r="J15" s="18">
        <v>0</v>
      </c>
      <c r="K15" s="46">
        <v>0</v>
      </c>
      <c r="L15" s="18">
        <v>0</v>
      </c>
      <c r="M15" s="46">
        <v>0</v>
      </c>
      <c r="N15" s="18">
        <v>0</v>
      </c>
      <c r="O15" s="46">
        <v>0</v>
      </c>
      <c r="P15" s="18">
        <v>0</v>
      </c>
      <c r="Q15" s="46">
        <v>0</v>
      </c>
      <c r="R15" s="18">
        <v>0</v>
      </c>
      <c r="S15" s="133">
        <v>0</v>
      </c>
      <c r="T15" s="135">
        <v>0</v>
      </c>
      <c r="U15" s="17"/>
      <c r="V15" s="46">
        <v>0</v>
      </c>
      <c r="W15" s="18">
        <v>0</v>
      </c>
      <c r="X15" s="46">
        <v>0</v>
      </c>
      <c r="Y15" s="18">
        <v>0</v>
      </c>
      <c r="Z15" s="46">
        <v>0</v>
      </c>
      <c r="AA15" s="18">
        <v>0</v>
      </c>
      <c r="AB15" s="133">
        <v>0</v>
      </c>
      <c r="AC15" s="135">
        <v>0</v>
      </c>
      <c r="AD15" s="214" t="str">
        <f t="shared" si="0"/>
        <v>OK</v>
      </c>
      <c r="AE15" t="s">
        <v>29</v>
      </c>
      <c r="AF15">
        <v>0</v>
      </c>
      <c r="AG15">
        <v>0</v>
      </c>
    </row>
    <row r="16" spans="1:33" x14ac:dyDescent="0.25">
      <c r="A16" s="17" t="s">
        <v>5</v>
      </c>
      <c r="B16" s="36">
        <v>1909592.98</v>
      </c>
      <c r="C16" s="36">
        <v>1989985.9600000002</v>
      </c>
      <c r="D16" s="36">
        <v>1794638</v>
      </c>
      <c r="E16" s="36">
        <v>1942102.8900000006</v>
      </c>
      <c r="F16" s="36">
        <v>2113897.8300000005</v>
      </c>
      <c r="G16" s="115">
        <v>3168780.9200000004</v>
      </c>
      <c r="H16" s="17"/>
      <c r="I16" s="46">
        <v>11</v>
      </c>
      <c r="J16" s="18">
        <v>-39608.21</v>
      </c>
      <c r="K16" s="46">
        <v>12</v>
      </c>
      <c r="L16" s="18">
        <v>-102557.84999999999</v>
      </c>
      <c r="M16" s="46">
        <v>14</v>
      </c>
      <c r="N16" s="18">
        <v>-164125.22000000003</v>
      </c>
      <c r="O16" s="46">
        <v>9</v>
      </c>
      <c r="P16" s="18">
        <v>-129063.76000000001</v>
      </c>
      <c r="Q16" s="46">
        <v>10</v>
      </c>
      <c r="R16" s="18">
        <v>-128081.68</v>
      </c>
      <c r="S16" s="133">
        <v>7</v>
      </c>
      <c r="T16" s="135">
        <v>-41819.68</v>
      </c>
      <c r="U16" s="17"/>
      <c r="V16" s="46">
        <v>16</v>
      </c>
      <c r="W16" s="18">
        <v>1117.49</v>
      </c>
      <c r="X16" s="46">
        <v>20</v>
      </c>
      <c r="Y16" s="18">
        <v>26045.84</v>
      </c>
      <c r="Z16" s="46">
        <v>17</v>
      </c>
      <c r="AA16" s="18">
        <v>4173.9799999999996</v>
      </c>
      <c r="AB16" s="133">
        <v>17</v>
      </c>
      <c r="AC16" s="135">
        <v>10725.869999999999</v>
      </c>
      <c r="AD16" s="214" t="str">
        <f t="shared" si="0"/>
        <v>OK</v>
      </c>
      <c r="AE16" t="s">
        <v>5</v>
      </c>
      <c r="AF16">
        <v>17</v>
      </c>
      <c r="AG16">
        <v>10725.869999999999</v>
      </c>
    </row>
    <row r="17" spans="1:33" x14ac:dyDescent="0.25">
      <c r="A17" s="17" t="s">
        <v>22</v>
      </c>
      <c r="B17" s="36">
        <v>19275417.52</v>
      </c>
      <c r="C17" s="36">
        <v>20938608.609999996</v>
      </c>
      <c r="D17" s="36">
        <v>34567891</v>
      </c>
      <c r="E17" s="36">
        <v>33867261.279999986</v>
      </c>
      <c r="F17" s="36">
        <v>33562797.410000011</v>
      </c>
      <c r="G17" s="115">
        <v>34676704.360000007</v>
      </c>
      <c r="H17" s="17"/>
      <c r="I17" s="46">
        <v>240</v>
      </c>
      <c r="J17" s="18">
        <v>-1743603.5299999998</v>
      </c>
      <c r="K17" s="46">
        <v>232</v>
      </c>
      <c r="L17" s="18">
        <v>-1929922.46</v>
      </c>
      <c r="M17" s="46">
        <v>238</v>
      </c>
      <c r="N17" s="18">
        <v>-2130878.5099999998</v>
      </c>
      <c r="O17" s="46">
        <v>238</v>
      </c>
      <c r="P17" s="18">
        <v>-2351432.98</v>
      </c>
      <c r="Q17" s="46">
        <v>236</v>
      </c>
      <c r="R17" s="18">
        <v>-1929949.8699999994</v>
      </c>
      <c r="S17" s="133">
        <v>240</v>
      </c>
      <c r="T17" s="135">
        <v>-2035540.1799999992</v>
      </c>
      <c r="U17" s="17"/>
      <c r="V17" s="46">
        <v>377</v>
      </c>
      <c r="W17" s="18">
        <v>13621063.620000001</v>
      </c>
      <c r="X17" s="46">
        <v>397</v>
      </c>
      <c r="Y17" s="18">
        <v>14536279.550000001</v>
      </c>
      <c r="Z17" s="46">
        <v>409</v>
      </c>
      <c r="AA17" s="18">
        <v>15005526.140000001</v>
      </c>
      <c r="AB17" s="133">
        <v>425</v>
      </c>
      <c r="AC17" s="135">
        <v>15363184.65</v>
      </c>
      <c r="AD17" s="214" t="str">
        <f t="shared" si="0"/>
        <v>OK</v>
      </c>
      <c r="AE17" t="s">
        <v>22</v>
      </c>
      <c r="AF17">
        <v>425</v>
      </c>
      <c r="AG17">
        <v>15363184.65</v>
      </c>
    </row>
    <row r="18" spans="1:33" x14ac:dyDescent="0.25">
      <c r="A18" s="17" t="s">
        <v>7</v>
      </c>
      <c r="B18" s="36">
        <v>1160607.4000000001</v>
      </c>
      <c r="C18" s="36">
        <v>1331412.4899999998</v>
      </c>
      <c r="D18" s="36">
        <v>1279894</v>
      </c>
      <c r="E18" s="36">
        <v>1403352.75</v>
      </c>
      <c r="F18" s="36">
        <v>1355842.6099999987</v>
      </c>
      <c r="G18" s="115">
        <v>1546240.2400000009</v>
      </c>
      <c r="H18" s="17"/>
      <c r="I18" s="46">
        <v>8</v>
      </c>
      <c r="J18" s="18">
        <v>-123711.15000000001</v>
      </c>
      <c r="K18" s="46">
        <v>6</v>
      </c>
      <c r="L18" s="18">
        <v>-41827.03</v>
      </c>
      <c r="M18" s="46">
        <v>5</v>
      </c>
      <c r="N18" s="18">
        <v>-41473.279999999999</v>
      </c>
      <c r="O18" s="46">
        <v>3</v>
      </c>
      <c r="P18" s="18">
        <v>-1824.31</v>
      </c>
      <c r="Q18" s="46">
        <v>7</v>
      </c>
      <c r="R18" s="18">
        <v>-9894.619999999999</v>
      </c>
      <c r="S18" s="133">
        <v>8</v>
      </c>
      <c r="T18" s="135">
        <v>-14938.16</v>
      </c>
      <c r="U18" s="17"/>
      <c r="V18" s="46">
        <v>7</v>
      </c>
      <c r="W18" s="18">
        <v>60484.670000000006</v>
      </c>
      <c r="X18" s="46">
        <v>7</v>
      </c>
      <c r="Y18" s="18">
        <v>66057.549999999988</v>
      </c>
      <c r="Z18" s="46">
        <v>8</v>
      </c>
      <c r="AA18" s="18">
        <v>69402.420000000013</v>
      </c>
      <c r="AB18" s="133">
        <v>8</v>
      </c>
      <c r="AC18" s="135">
        <v>69179.520000000004</v>
      </c>
      <c r="AD18" s="214" t="str">
        <f t="shared" si="0"/>
        <v>OK</v>
      </c>
      <c r="AE18" t="s">
        <v>7</v>
      </c>
      <c r="AF18">
        <v>8</v>
      </c>
      <c r="AG18">
        <v>69179.520000000004</v>
      </c>
    </row>
    <row r="19" spans="1:33" x14ac:dyDescent="0.25">
      <c r="A19" s="17" t="s">
        <v>6</v>
      </c>
      <c r="B19" s="36">
        <v>20165.82</v>
      </c>
      <c r="C19" s="36">
        <v>22351.1</v>
      </c>
      <c r="D19" s="36">
        <v>24587</v>
      </c>
      <c r="E19" s="36">
        <v>26977.55</v>
      </c>
      <c r="F19" s="36">
        <v>29694.19</v>
      </c>
      <c r="G19" s="115">
        <v>31310.65</v>
      </c>
      <c r="H19" s="17"/>
      <c r="I19" s="46">
        <v>0</v>
      </c>
      <c r="J19" s="18">
        <v>0</v>
      </c>
      <c r="K19" s="46">
        <v>0</v>
      </c>
      <c r="L19" s="18">
        <v>0</v>
      </c>
      <c r="M19" s="46">
        <v>0</v>
      </c>
      <c r="N19" s="18">
        <v>0</v>
      </c>
      <c r="O19" s="46">
        <v>0</v>
      </c>
      <c r="P19" s="18">
        <v>0</v>
      </c>
      <c r="Q19" s="46"/>
      <c r="R19" s="18"/>
      <c r="S19" s="133"/>
      <c r="T19" s="135"/>
      <c r="U19" s="17"/>
      <c r="V19" s="46">
        <v>3</v>
      </c>
      <c r="W19" s="18">
        <v>24586.959999999999</v>
      </c>
      <c r="X19" s="46">
        <v>2</v>
      </c>
      <c r="Y19" s="18">
        <v>3352.64</v>
      </c>
      <c r="Z19" s="46">
        <v>3</v>
      </c>
      <c r="AA19" s="18">
        <v>29694.19</v>
      </c>
      <c r="AB19" s="133">
        <v>2</v>
      </c>
      <c r="AC19" s="135">
        <v>4347.95</v>
      </c>
      <c r="AD19" s="214" t="str">
        <f t="shared" si="0"/>
        <v>No</v>
      </c>
      <c r="AE19" t="s">
        <v>387</v>
      </c>
      <c r="AF19">
        <v>2</v>
      </c>
      <c r="AG19">
        <v>4347.95</v>
      </c>
    </row>
    <row r="20" spans="1:33" x14ac:dyDescent="0.25">
      <c r="A20" s="17" t="s">
        <v>30</v>
      </c>
      <c r="B20" s="36"/>
      <c r="C20" s="36"/>
      <c r="D20" s="36"/>
      <c r="E20" s="36">
        <v>0</v>
      </c>
      <c r="F20" s="36">
        <v>0</v>
      </c>
      <c r="G20" s="115">
        <v>0</v>
      </c>
      <c r="H20" s="17"/>
      <c r="I20" s="46">
        <v>0</v>
      </c>
      <c r="J20" s="18">
        <v>0</v>
      </c>
      <c r="K20" s="46">
        <v>0</v>
      </c>
      <c r="L20" s="18">
        <v>0</v>
      </c>
      <c r="M20" s="46">
        <v>0</v>
      </c>
      <c r="N20" s="18">
        <v>0</v>
      </c>
      <c r="O20" s="46">
        <v>0</v>
      </c>
      <c r="P20" s="18">
        <v>0</v>
      </c>
      <c r="Q20" s="46">
        <v>0</v>
      </c>
      <c r="R20" s="18">
        <v>0</v>
      </c>
      <c r="S20" s="133">
        <v>0</v>
      </c>
      <c r="T20" s="135">
        <v>0</v>
      </c>
      <c r="U20" s="17"/>
      <c r="V20" s="46">
        <v>0</v>
      </c>
      <c r="W20" s="18">
        <v>0</v>
      </c>
      <c r="X20" s="46">
        <v>0</v>
      </c>
      <c r="Y20" s="18">
        <v>0</v>
      </c>
      <c r="Z20" s="46">
        <v>0</v>
      </c>
      <c r="AA20" s="18">
        <v>0</v>
      </c>
      <c r="AB20" s="133">
        <v>0</v>
      </c>
      <c r="AC20" s="135">
        <v>0</v>
      </c>
      <c r="AD20" s="214" t="str">
        <f t="shared" si="0"/>
        <v>No</v>
      </c>
      <c r="AE20" t="s">
        <v>389</v>
      </c>
      <c r="AF20">
        <v>0</v>
      </c>
      <c r="AG20">
        <v>0</v>
      </c>
    </row>
    <row r="21" spans="1:33" x14ac:dyDescent="0.25">
      <c r="A21" s="17" t="s">
        <v>8</v>
      </c>
      <c r="B21" s="36">
        <v>32848702.71999998</v>
      </c>
      <c r="C21" s="36">
        <v>36424843.130000003</v>
      </c>
      <c r="D21" s="36">
        <v>37336890</v>
      </c>
      <c r="E21" s="36">
        <v>36505894.139999993</v>
      </c>
      <c r="F21" s="36">
        <v>35785650.919999972</v>
      </c>
      <c r="G21" s="115">
        <v>34979407.390000001</v>
      </c>
      <c r="H21" s="17"/>
      <c r="I21" s="46">
        <v>74</v>
      </c>
      <c r="J21" s="18">
        <v>-58599.189999999988</v>
      </c>
      <c r="K21" s="46">
        <v>89</v>
      </c>
      <c r="L21" s="18">
        <v>-103606.37999999999</v>
      </c>
      <c r="M21" s="46">
        <v>75</v>
      </c>
      <c r="N21" s="18">
        <v>-83223.489999999991</v>
      </c>
      <c r="O21" s="46">
        <v>57</v>
      </c>
      <c r="P21" s="18">
        <v>-54543.929999999971</v>
      </c>
      <c r="Q21" s="46">
        <v>51</v>
      </c>
      <c r="R21" s="18">
        <v>-458407.46</v>
      </c>
      <c r="S21" s="133">
        <v>61</v>
      </c>
      <c r="T21" s="135">
        <v>-42876.5</v>
      </c>
      <c r="U21" s="17"/>
      <c r="V21" s="46">
        <v>43</v>
      </c>
      <c r="W21" s="18">
        <v>1978362.3900000001</v>
      </c>
      <c r="X21" s="46">
        <v>55</v>
      </c>
      <c r="Y21" s="18">
        <v>2819306.9200000004</v>
      </c>
      <c r="Z21" s="46">
        <v>54</v>
      </c>
      <c r="AA21" s="18">
        <v>3234249.67</v>
      </c>
      <c r="AB21" s="133">
        <v>59</v>
      </c>
      <c r="AC21" s="135">
        <v>3149099.1399999997</v>
      </c>
      <c r="AD21" s="214" t="str">
        <f t="shared" si="0"/>
        <v>OK</v>
      </c>
      <c r="AE21" t="s">
        <v>8</v>
      </c>
      <c r="AF21">
        <v>59</v>
      </c>
      <c r="AG21">
        <v>3149099.1399999997</v>
      </c>
    </row>
    <row r="22" spans="1:33" x14ac:dyDescent="0.25">
      <c r="A22" s="17" t="s">
        <v>9</v>
      </c>
      <c r="B22" s="36">
        <v>3474415.65</v>
      </c>
      <c r="C22" s="36">
        <v>3347618.51</v>
      </c>
      <c r="D22" s="36">
        <v>4079114</v>
      </c>
      <c r="E22" s="36">
        <v>4201481.2699999996</v>
      </c>
      <c r="F22" s="36">
        <v>4325716.63</v>
      </c>
      <c r="G22" s="115">
        <v>4280348.5799999991</v>
      </c>
      <c r="H22" s="17"/>
      <c r="I22" s="46">
        <v>4</v>
      </c>
      <c r="J22" s="18">
        <v>-52292.42</v>
      </c>
      <c r="K22" s="46">
        <v>4</v>
      </c>
      <c r="L22" s="18">
        <v>-40689.129999999997</v>
      </c>
      <c r="M22" s="46">
        <v>1</v>
      </c>
      <c r="N22" s="18">
        <v>-1453.7</v>
      </c>
      <c r="O22" s="46">
        <v>3</v>
      </c>
      <c r="P22" s="18">
        <v>-13465.61</v>
      </c>
      <c r="Q22" s="46">
        <v>6</v>
      </c>
      <c r="R22" s="18">
        <v>-55733.440000000002</v>
      </c>
      <c r="S22" s="133">
        <v>15</v>
      </c>
      <c r="T22" s="135">
        <v>-255330.03000000003</v>
      </c>
      <c r="U22" s="17"/>
      <c r="V22" s="46">
        <v>3</v>
      </c>
      <c r="W22" s="18">
        <v>50424.160000000003</v>
      </c>
      <c r="X22" s="46">
        <v>4</v>
      </c>
      <c r="Y22" s="18">
        <v>179095.04000000001</v>
      </c>
      <c r="Z22" s="46">
        <v>3</v>
      </c>
      <c r="AA22" s="18">
        <v>337723.07</v>
      </c>
      <c r="AB22" s="133">
        <v>2</v>
      </c>
      <c r="AC22" s="135">
        <v>69670.14</v>
      </c>
      <c r="AD22" s="214" t="str">
        <f t="shared" si="0"/>
        <v>OK</v>
      </c>
      <c r="AE22" t="s">
        <v>9</v>
      </c>
      <c r="AF22">
        <v>2</v>
      </c>
      <c r="AG22">
        <v>69670.14</v>
      </c>
    </row>
    <row r="23" spans="1:33" x14ac:dyDescent="0.25">
      <c r="A23" s="17" t="s">
        <v>24</v>
      </c>
      <c r="B23" s="36">
        <v>160159072.26000008</v>
      </c>
      <c r="C23" s="36">
        <v>175373771.41999993</v>
      </c>
      <c r="D23" s="36">
        <v>188874754</v>
      </c>
      <c r="E23" s="36">
        <v>204796433.32999966</v>
      </c>
      <c r="F23" s="36">
        <v>225281432.6199995</v>
      </c>
      <c r="G23" s="115">
        <v>239904519.41999939</v>
      </c>
      <c r="H23" s="17"/>
      <c r="I23" s="46">
        <v>303</v>
      </c>
      <c r="J23" s="18">
        <v>-17355103.449999999</v>
      </c>
      <c r="K23" s="46">
        <v>335</v>
      </c>
      <c r="L23" s="18">
        <v>-5208685.12</v>
      </c>
      <c r="M23" s="46">
        <v>363</v>
      </c>
      <c r="N23" s="18">
        <v>-5967113.3900000006</v>
      </c>
      <c r="O23" s="46">
        <v>425</v>
      </c>
      <c r="P23" s="18">
        <v>-6688993.0399999954</v>
      </c>
      <c r="Q23" s="46">
        <v>411</v>
      </c>
      <c r="R23" s="18">
        <v>-9109161.2200000007</v>
      </c>
      <c r="S23" s="133">
        <v>428</v>
      </c>
      <c r="T23" s="135">
        <v>-8855687.3900000025</v>
      </c>
      <c r="U23" s="17"/>
      <c r="V23" s="46">
        <v>586</v>
      </c>
      <c r="W23" s="18">
        <v>15224311.659999998</v>
      </c>
      <c r="X23" s="46">
        <v>633</v>
      </c>
      <c r="Y23" s="18">
        <v>16173854.25</v>
      </c>
      <c r="Z23" s="46">
        <v>682</v>
      </c>
      <c r="AA23" s="18">
        <v>19584575.629999995</v>
      </c>
      <c r="AB23" s="133">
        <v>734</v>
      </c>
      <c r="AC23" s="135">
        <v>23038204.890000001</v>
      </c>
      <c r="AD23" s="214" t="str">
        <f t="shared" si="0"/>
        <v>OK</v>
      </c>
      <c r="AE23" t="s">
        <v>24</v>
      </c>
      <c r="AF23">
        <v>734</v>
      </c>
      <c r="AG23">
        <v>23038204.890000001</v>
      </c>
    </row>
    <row r="24" spans="1:33" x14ac:dyDescent="0.25">
      <c r="A24" s="17" t="s">
        <v>25</v>
      </c>
      <c r="B24" s="36">
        <v>0</v>
      </c>
      <c r="C24" s="36">
        <v>0</v>
      </c>
      <c r="D24" s="36">
        <v>0</v>
      </c>
      <c r="E24" s="36">
        <v>0</v>
      </c>
      <c r="F24" s="36">
        <v>0</v>
      </c>
      <c r="G24" s="115">
        <v>0</v>
      </c>
      <c r="H24" s="17"/>
      <c r="I24" s="46">
        <v>0</v>
      </c>
      <c r="J24" s="18">
        <v>0</v>
      </c>
      <c r="K24" s="46">
        <v>0</v>
      </c>
      <c r="L24" s="18">
        <v>0</v>
      </c>
      <c r="M24" s="46">
        <v>0</v>
      </c>
      <c r="N24" s="18">
        <v>0</v>
      </c>
      <c r="O24" s="46">
        <v>0</v>
      </c>
      <c r="P24" s="18">
        <v>0</v>
      </c>
      <c r="Q24" s="46">
        <v>0</v>
      </c>
      <c r="R24" s="18">
        <v>0</v>
      </c>
      <c r="S24" s="133">
        <v>0</v>
      </c>
      <c r="T24" s="135">
        <v>0</v>
      </c>
      <c r="U24" s="17"/>
      <c r="V24" s="46">
        <v>0</v>
      </c>
      <c r="W24" s="18">
        <v>0</v>
      </c>
      <c r="X24" s="46">
        <v>0</v>
      </c>
      <c r="Y24" s="18">
        <v>0</v>
      </c>
      <c r="Z24" s="46">
        <v>0</v>
      </c>
      <c r="AA24" s="18">
        <v>0</v>
      </c>
      <c r="AB24" s="133">
        <v>0</v>
      </c>
      <c r="AC24" s="135">
        <v>0</v>
      </c>
      <c r="AD24" s="214" t="str">
        <f t="shared" si="0"/>
        <v>OK</v>
      </c>
      <c r="AE24" t="s">
        <v>25</v>
      </c>
      <c r="AF24">
        <v>0</v>
      </c>
      <c r="AG24">
        <v>0</v>
      </c>
    </row>
    <row r="25" spans="1:33" x14ac:dyDescent="0.25">
      <c r="A25" s="17" t="s">
        <v>34</v>
      </c>
      <c r="B25" s="36">
        <v>84761.9</v>
      </c>
      <c r="C25" s="36">
        <v>100420.77</v>
      </c>
      <c r="D25" s="36">
        <v>86697.06</v>
      </c>
      <c r="E25" s="36">
        <v>111709.09999999999</v>
      </c>
      <c r="F25" s="36">
        <v>112372.69</v>
      </c>
      <c r="G25" s="115">
        <v>428063.07000000007</v>
      </c>
      <c r="H25" s="17"/>
      <c r="I25" s="46">
        <v>2</v>
      </c>
      <c r="J25" s="18">
        <v>-643.04999999999995</v>
      </c>
      <c r="K25" s="46">
        <v>2</v>
      </c>
      <c r="L25" s="18">
        <v>-10357.629999999999</v>
      </c>
      <c r="M25" s="46">
        <v>4</v>
      </c>
      <c r="N25" s="18">
        <v>-21072.400000000001</v>
      </c>
      <c r="O25" s="46">
        <v>5</v>
      </c>
      <c r="P25" s="18">
        <v>-7478.7899999999991</v>
      </c>
      <c r="Q25" s="46">
        <v>6</v>
      </c>
      <c r="R25" s="18">
        <v>-9267.8799999999992</v>
      </c>
      <c r="S25" s="133">
        <v>7</v>
      </c>
      <c r="T25" s="135">
        <v>-10596.55</v>
      </c>
      <c r="U25" s="17"/>
      <c r="V25" s="46"/>
      <c r="W25" s="18">
        <v>0</v>
      </c>
      <c r="X25" s="46">
        <v>1</v>
      </c>
      <c r="Y25" s="18">
        <v>7085.75</v>
      </c>
      <c r="Z25" s="46">
        <v>1</v>
      </c>
      <c r="AA25" s="18">
        <v>7933.81</v>
      </c>
      <c r="AB25" s="133">
        <v>3</v>
      </c>
      <c r="AC25" s="135">
        <v>13081.38</v>
      </c>
      <c r="AD25" s="214" t="str">
        <f t="shared" si="0"/>
        <v>OK</v>
      </c>
      <c r="AE25" t="s">
        <v>34</v>
      </c>
      <c r="AF25">
        <v>3</v>
      </c>
      <c r="AG25">
        <v>13081.38</v>
      </c>
    </row>
    <row r="26" spans="1:33" x14ac:dyDescent="0.25">
      <c r="A26" s="17" t="s">
        <v>10</v>
      </c>
      <c r="B26" s="36">
        <v>13490105.309999999</v>
      </c>
      <c r="C26" s="36">
        <v>11755743.550000001</v>
      </c>
      <c r="D26" s="36">
        <v>8628623</v>
      </c>
      <c r="E26" s="36">
        <v>8255280.5799999982</v>
      </c>
      <c r="F26" s="36">
        <v>8743595.8099999987</v>
      </c>
      <c r="G26" s="115">
        <v>10469771.749999994</v>
      </c>
      <c r="H26" s="17"/>
      <c r="I26" s="46">
        <v>11</v>
      </c>
      <c r="J26" s="18">
        <v>-73111.17</v>
      </c>
      <c r="K26" s="46">
        <v>16</v>
      </c>
      <c r="L26" s="18">
        <v>-600636.34000000008</v>
      </c>
      <c r="M26" s="46">
        <v>15</v>
      </c>
      <c r="N26" s="18">
        <v>-326786.81</v>
      </c>
      <c r="O26" s="46">
        <v>20</v>
      </c>
      <c r="P26" s="18">
        <v>-342737.73999999993</v>
      </c>
      <c r="Q26" s="46">
        <v>18</v>
      </c>
      <c r="R26" s="18">
        <v>-395637.18</v>
      </c>
      <c r="S26" s="133">
        <v>16</v>
      </c>
      <c r="T26" s="135">
        <v>-164642.68</v>
      </c>
      <c r="U26" s="17"/>
      <c r="V26" s="46">
        <v>24</v>
      </c>
      <c r="W26" s="18">
        <v>265486.12</v>
      </c>
      <c r="X26" s="46">
        <v>36</v>
      </c>
      <c r="Y26" s="18">
        <v>311878.20999999996</v>
      </c>
      <c r="Z26" s="46">
        <v>30</v>
      </c>
      <c r="AA26" s="18">
        <v>430474.07</v>
      </c>
      <c r="AB26" s="133">
        <v>32</v>
      </c>
      <c r="AC26" s="135">
        <v>467441.34</v>
      </c>
      <c r="AD26" s="214" t="str">
        <f t="shared" si="0"/>
        <v>OK</v>
      </c>
      <c r="AE26" t="s">
        <v>10</v>
      </c>
      <c r="AF26">
        <v>32</v>
      </c>
      <c r="AG26">
        <v>467441.34</v>
      </c>
    </row>
    <row r="27" spans="1:33" x14ac:dyDescent="0.25">
      <c r="A27" s="17" t="s">
        <v>11</v>
      </c>
      <c r="B27" s="36">
        <v>31842970.959999993</v>
      </c>
      <c r="C27" s="36">
        <v>34018163.150000006</v>
      </c>
      <c r="D27" s="36">
        <v>33821377</v>
      </c>
      <c r="E27" s="36">
        <v>32505031.100000005</v>
      </c>
      <c r="F27" s="36">
        <v>31111926.070000026</v>
      </c>
      <c r="G27" s="115">
        <v>39274336.579999998</v>
      </c>
      <c r="H27" s="17"/>
      <c r="I27" s="46">
        <v>41</v>
      </c>
      <c r="J27" s="18">
        <v>-242196.34</v>
      </c>
      <c r="K27" s="46">
        <v>47</v>
      </c>
      <c r="L27" s="18">
        <v>-448057.50999999995</v>
      </c>
      <c r="M27" s="46">
        <v>65</v>
      </c>
      <c r="N27" s="18">
        <v>-892394.89</v>
      </c>
      <c r="O27" s="46">
        <v>88</v>
      </c>
      <c r="P27" s="18">
        <v>-1517437.7600000009</v>
      </c>
      <c r="Q27" s="46">
        <v>112</v>
      </c>
      <c r="R27" s="18">
        <v>-1649491.5499999998</v>
      </c>
      <c r="S27" s="133">
        <v>82</v>
      </c>
      <c r="T27" s="135">
        <v>-2104649.4699999997</v>
      </c>
      <c r="U27" s="17"/>
      <c r="V27" s="46">
        <v>69</v>
      </c>
      <c r="W27" s="18">
        <v>379043.74000000005</v>
      </c>
      <c r="X27" s="46">
        <v>76</v>
      </c>
      <c r="Y27" s="18">
        <v>107538.03999999995</v>
      </c>
      <c r="Z27" s="46">
        <v>86</v>
      </c>
      <c r="AA27" s="18">
        <v>865852.01</v>
      </c>
      <c r="AB27" s="133">
        <v>90</v>
      </c>
      <c r="AC27" s="135">
        <v>414392.79000000004</v>
      </c>
      <c r="AD27" s="214" t="str">
        <f t="shared" si="0"/>
        <v>No</v>
      </c>
      <c r="AE27" t="s">
        <v>378</v>
      </c>
      <c r="AF27">
        <v>90</v>
      </c>
      <c r="AG27">
        <v>414392.79000000004</v>
      </c>
    </row>
    <row r="28" spans="1:33" x14ac:dyDescent="0.25">
      <c r="A28" s="17" t="s">
        <v>197</v>
      </c>
      <c r="B28" s="36">
        <v>4137259.84</v>
      </c>
      <c r="C28" s="36">
        <v>4980629.13</v>
      </c>
      <c r="D28" s="36">
        <v>5409598</v>
      </c>
      <c r="E28" s="36">
        <v>4293116.8099999977</v>
      </c>
      <c r="F28" s="36">
        <v>4390601.7699999968</v>
      </c>
      <c r="G28" s="115">
        <v>4611417.0500000017</v>
      </c>
      <c r="H28" s="17"/>
      <c r="I28" s="46">
        <v>8</v>
      </c>
      <c r="J28" s="18">
        <v>-42904.92</v>
      </c>
      <c r="K28" s="46">
        <v>5</v>
      </c>
      <c r="L28" s="18">
        <v>-16845.53</v>
      </c>
      <c r="M28" s="46">
        <v>5</v>
      </c>
      <c r="N28" s="18">
        <v>-25743.25</v>
      </c>
      <c r="O28" s="46">
        <v>10</v>
      </c>
      <c r="P28" s="18">
        <v>-145274.19999999998</v>
      </c>
      <c r="Q28" s="46">
        <v>9</v>
      </c>
      <c r="R28" s="18">
        <v>-21624.83</v>
      </c>
      <c r="S28" s="133">
        <v>10</v>
      </c>
      <c r="T28" s="135">
        <v>-19773.91</v>
      </c>
      <c r="U28" s="17"/>
      <c r="V28" s="46">
        <v>10</v>
      </c>
      <c r="W28" s="18">
        <v>207342.18999999997</v>
      </c>
      <c r="X28" s="46">
        <v>9</v>
      </c>
      <c r="Y28" s="18">
        <v>223545.39</v>
      </c>
      <c r="Z28" s="46">
        <v>12</v>
      </c>
      <c r="AA28" s="18">
        <v>136420.59</v>
      </c>
      <c r="AB28" s="133">
        <v>11</v>
      </c>
      <c r="AC28" s="135">
        <v>138613.03000000003</v>
      </c>
      <c r="AD28" s="214" t="str">
        <f t="shared" si="0"/>
        <v>OK</v>
      </c>
      <c r="AE28" t="s">
        <v>197</v>
      </c>
      <c r="AF28">
        <v>11</v>
      </c>
      <c r="AG28">
        <v>138613.03000000003</v>
      </c>
    </row>
    <row r="29" spans="1:33" x14ac:dyDescent="0.25">
      <c r="A29" s="17" t="s">
        <v>12</v>
      </c>
      <c r="B29" s="36">
        <v>13454125.359999999</v>
      </c>
      <c r="C29" s="36">
        <v>12918436.17</v>
      </c>
      <c r="D29" s="36">
        <v>14013129</v>
      </c>
      <c r="E29" s="36">
        <v>14469877.979999997</v>
      </c>
      <c r="F29" s="36">
        <v>14563348.049999995</v>
      </c>
      <c r="G29" s="115">
        <v>2945445.5400000005</v>
      </c>
      <c r="H29" s="17"/>
      <c r="I29" s="46">
        <v>13</v>
      </c>
      <c r="J29" s="18">
        <v>-137881.97999999998</v>
      </c>
      <c r="K29" s="46">
        <v>19</v>
      </c>
      <c r="L29" s="18">
        <v>-295725.27999999997</v>
      </c>
      <c r="M29" s="46">
        <v>19</v>
      </c>
      <c r="N29" s="18">
        <v>-204439.44</v>
      </c>
      <c r="O29" s="46">
        <v>19</v>
      </c>
      <c r="P29" s="18">
        <v>-267616.72000000003</v>
      </c>
      <c r="Q29" s="46">
        <v>14</v>
      </c>
      <c r="R29" s="18">
        <v>-94501.3</v>
      </c>
      <c r="S29" s="133">
        <v>12</v>
      </c>
      <c r="T29" s="135">
        <v>-10027836.180000002</v>
      </c>
      <c r="U29" s="17"/>
      <c r="V29" s="46">
        <v>38</v>
      </c>
      <c r="W29" s="18">
        <v>551853.39000000013</v>
      </c>
      <c r="X29" s="46">
        <v>40</v>
      </c>
      <c r="Y29" s="18">
        <v>1116624.77</v>
      </c>
      <c r="Z29" s="46">
        <v>35</v>
      </c>
      <c r="AA29" s="18">
        <v>711038.37000000011</v>
      </c>
      <c r="AB29" s="133">
        <v>31</v>
      </c>
      <c r="AC29" s="135">
        <v>465849.04</v>
      </c>
      <c r="AD29" s="214" t="str">
        <f t="shared" si="0"/>
        <v>OK</v>
      </c>
      <c r="AE29" t="s">
        <v>12</v>
      </c>
      <c r="AF29">
        <v>31</v>
      </c>
      <c r="AG29">
        <v>465849.04</v>
      </c>
    </row>
    <row r="30" spans="1:33" x14ac:dyDescent="0.25">
      <c r="A30" s="17" t="s">
        <v>13</v>
      </c>
      <c r="B30" s="36">
        <v>3665548.7499999995</v>
      </c>
      <c r="C30" s="36">
        <v>4069073.1399999997</v>
      </c>
      <c r="D30" s="36">
        <v>4546367</v>
      </c>
      <c r="E30" s="36">
        <v>4772383.950000002</v>
      </c>
      <c r="F30" s="36">
        <v>5753256.5699999994</v>
      </c>
      <c r="G30" s="115">
        <v>9274329.3399999999</v>
      </c>
      <c r="H30" s="17"/>
      <c r="I30" s="46">
        <v>1</v>
      </c>
      <c r="J30" s="18">
        <v>-432.15</v>
      </c>
      <c r="K30" s="46">
        <v>1</v>
      </c>
      <c r="L30" s="18">
        <v>-432.15</v>
      </c>
      <c r="M30" s="46">
        <v>0</v>
      </c>
      <c r="N30" s="18">
        <v>0</v>
      </c>
      <c r="O30" s="46">
        <v>2</v>
      </c>
      <c r="P30" s="18">
        <v>-1524.71</v>
      </c>
      <c r="Q30" s="46">
        <v>2</v>
      </c>
      <c r="R30" s="18">
        <v>-2611.23</v>
      </c>
      <c r="S30" s="133">
        <v>1</v>
      </c>
      <c r="T30" s="135">
        <v>-7549.6</v>
      </c>
      <c r="U30" s="17"/>
      <c r="V30" s="46">
        <v>8</v>
      </c>
      <c r="W30" s="18">
        <v>89715.98</v>
      </c>
      <c r="X30" s="46">
        <v>10</v>
      </c>
      <c r="Y30" s="18">
        <v>99530.25</v>
      </c>
      <c r="Z30" s="46">
        <v>8</v>
      </c>
      <c r="AA30" s="18">
        <v>102023.23</v>
      </c>
      <c r="AB30" s="133">
        <v>9</v>
      </c>
      <c r="AC30" s="135">
        <v>102108.11</v>
      </c>
      <c r="AD30" s="214" t="str">
        <f t="shared" si="0"/>
        <v>OK</v>
      </c>
      <c r="AE30" t="s">
        <v>13</v>
      </c>
      <c r="AF30">
        <v>9</v>
      </c>
      <c r="AG30">
        <v>102108.11</v>
      </c>
    </row>
    <row r="31" spans="1:33" x14ac:dyDescent="0.25">
      <c r="A31" s="17" t="s">
        <v>14</v>
      </c>
      <c r="B31" s="36">
        <v>3187916.2199999997</v>
      </c>
      <c r="C31" s="36">
        <v>3261094.59</v>
      </c>
      <c r="D31" s="36">
        <v>2930226</v>
      </c>
      <c r="E31" s="36">
        <v>2327423.4500000002</v>
      </c>
      <c r="F31" s="36">
        <v>2333736.2700000005</v>
      </c>
      <c r="G31" s="115">
        <v>2513950.46</v>
      </c>
      <c r="H31" s="17"/>
      <c r="I31" s="46">
        <v>4</v>
      </c>
      <c r="J31" s="18">
        <v>-13487.619999999999</v>
      </c>
      <c r="K31" s="46">
        <v>3</v>
      </c>
      <c r="L31" s="18">
        <v>-760.49</v>
      </c>
      <c r="M31" s="46">
        <v>7</v>
      </c>
      <c r="N31" s="18">
        <v>-7545.0500000000011</v>
      </c>
      <c r="O31" s="46">
        <v>4</v>
      </c>
      <c r="P31" s="18">
        <v>-7022.2800000000007</v>
      </c>
      <c r="Q31" s="46">
        <v>23</v>
      </c>
      <c r="R31" s="18">
        <v>-8285.9199999999983</v>
      </c>
      <c r="S31" s="133">
        <v>11</v>
      </c>
      <c r="T31" s="135">
        <v>-23186.3</v>
      </c>
      <c r="U31" s="17"/>
      <c r="V31" s="46">
        <v>4</v>
      </c>
      <c r="W31" s="18">
        <v>92051.639999999985</v>
      </c>
      <c r="X31" s="46">
        <v>7</v>
      </c>
      <c r="Y31" s="18">
        <v>118243.84</v>
      </c>
      <c r="Z31" s="46">
        <v>6</v>
      </c>
      <c r="AA31" s="18">
        <v>79732.14</v>
      </c>
      <c r="AB31" s="133">
        <v>7</v>
      </c>
      <c r="AC31" s="135">
        <v>69101.36</v>
      </c>
      <c r="AD31" s="214" t="str">
        <f t="shared" si="0"/>
        <v>OK</v>
      </c>
      <c r="AE31" t="s">
        <v>14</v>
      </c>
      <c r="AF31">
        <v>7</v>
      </c>
      <c r="AG31">
        <v>69101.36</v>
      </c>
    </row>
    <row r="32" spans="1:33" x14ac:dyDescent="0.25">
      <c r="A32" s="17" t="s">
        <v>15</v>
      </c>
      <c r="B32" s="36">
        <v>1059640.0299999998</v>
      </c>
      <c r="C32" s="36">
        <v>1239944.4599999997</v>
      </c>
      <c r="D32" s="36">
        <v>1536110</v>
      </c>
      <c r="E32" s="36">
        <v>2011657.1900000004</v>
      </c>
      <c r="F32" s="36">
        <v>2540306.7600000007</v>
      </c>
      <c r="G32" s="115">
        <v>3103018.6399999997</v>
      </c>
      <c r="H32" s="17"/>
      <c r="I32" s="46">
        <v>4</v>
      </c>
      <c r="J32" s="18">
        <v>-11749.82</v>
      </c>
      <c r="K32" s="46">
        <v>3</v>
      </c>
      <c r="L32" s="18">
        <v>-23641.040000000001</v>
      </c>
      <c r="M32" s="46">
        <v>7</v>
      </c>
      <c r="N32" s="18">
        <v>-28690.87</v>
      </c>
      <c r="O32" s="46">
        <v>3</v>
      </c>
      <c r="P32" s="18">
        <v>-13243.420000000002</v>
      </c>
      <c r="Q32" s="46">
        <v>5</v>
      </c>
      <c r="R32" s="18">
        <v>-12945.150000000001</v>
      </c>
      <c r="S32" s="133">
        <v>1</v>
      </c>
      <c r="T32" s="135">
        <v>-2906.34</v>
      </c>
      <c r="U32" s="17"/>
      <c r="V32" s="46">
        <v>8</v>
      </c>
      <c r="W32" s="18">
        <v>52906.29</v>
      </c>
      <c r="X32" s="46">
        <v>10</v>
      </c>
      <c r="Y32" s="18">
        <v>175596.38999999998</v>
      </c>
      <c r="Z32" s="46">
        <v>10</v>
      </c>
      <c r="AA32" s="18">
        <v>251471.76</v>
      </c>
      <c r="AB32" s="133">
        <v>9</v>
      </c>
      <c r="AC32" s="135">
        <v>214477.66000000003</v>
      </c>
      <c r="AD32" s="214" t="str">
        <f t="shared" si="0"/>
        <v>OK</v>
      </c>
      <c r="AE32" t="s">
        <v>15</v>
      </c>
      <c r="AF32">
        <v>9</v>
      </c>
      <c r="AG32">
        <v>214477.66000000003</v>
      </c>
    </row>
    <row r="33" spans="1:33" x14ac:dyDescent="0.25">
      <c r="A33" s="17" t="s">
        <v>16</v>
      </c>
      <c r="B33" s="36">
        <v>2394400.0299999998</v>
      </c>
      <c r="C33" s="36">
        <v>2375073.9700000002</v>
      </c>
      <c r="D33" s="36">
        <v>3887833</v>
      </c>
      <c r="E33" s="36">
        <v>5320428.9699999951</v>
      </c>
      <c r="F33" s="36">
        <v>5732273.3899999978</v>
      </c>
      <c r="G33" s="115">
        <v>6333032.8799999999</v>
      </c>
      <c r="H33" s="17"/>
      <c r="I33" s="46">
        <v>53</v>
      </c>
      <c r="J33" s="18">
        <v>-613903.12</v>
      </c>
      <c r="K33" s="46">
        <v>163</v>
      </c>
      <c r="L33" s="18">
        <v>-614580.63</v>
      </c>
      <c r="M33" s="46">
        <v>158</v>
      </c>
      <c r="N33" s="18">
        <v>-255533.61000000002</v>
      </c>
      <c r="O33" s="46">
        <v>144</v>
      </c>
      <c r="P33" s="18">
        <v>-163840.66999999998</v>
      </c>
      <c r="Q33" s="46">
        <v>42</v>
      </c>
      <c r="R33" s="18">
        <v>-126550.40000000001</v>
      </c>
      <c r="S33" s="133">
        <v>46</v>
      </c>
      <c r="T33" s="135">
        <v>-101185.24</v>
      </c>
      <c r="U33" s="17"/>
      <c r="V33" s="46">
        <v>25</v>
      </c>
      <c r="W33" s="18">
        <v>132019.30999999997</v>
      </c>
      <c r="X33" s="46">
        <v>23</v>
      </c>
      <c r="Y33" s="18">
        <v>16345.110000000002</v>
      </c>
      <c r="Z33" s="46">
        <v>17</v>
      </c>
      <c r="AA33" s="18">
        <v>26027.81</v>
      </c>
      <c r="AB33" s="133">
        <v>15</v>
      </c>
      <c r="AC33" s="135">
        <v>20887.95</v>
      </c>
      <c r="AD33" s="214" t="str">
        <f t="shared" si="0"/>
        <v>OK</v>
      </c>
      <c r="AE33" t="s">
        <v>16</v>
      </c>
      <c r="AF33">
        <v>15</v>
      </c>
      <c r="AG33">
        <v>20887.95</v>
      </c>
    </row>
    <row r="34" spans="1:33" x14ac:dyDescent="0.25">
      <c r="A34" s="17" t="s">
        <v>17</v>
      </c>
      <c r="B34" s="36">
        <v>2094880.51</v>
      </c>
      <c r="C34" s="36">
        <v>2701852.26</v>
      </c>
      <c r="D34" s="36">
        <v>3047651</v>
      </c>
      <c r="E34" s="36">
        <v>2266676.6</v>
      </c>
      <c r="F34" s="36">
        <v>2158436.6999999993</v>
      </c>
      <c r="G34" s="115">
        <v>1988656.51</v>
      </c>
      <c r="H34" s="17"/>
      <c r="I34" s="46">
        <v>9</v>
      </c>
      <c r="J34" s="18">
        <v>-58044.14</v>
      </c>
      <c r="K34" s="46">
        <v>10</v>
      </c>
      <c r="L34" s="18">
        <v>-41866.020000000004</v>
      </c>
      <c r="M34" s="46">
        <v>7</v>
      </c>
      <c r="N34" s="18">
        <v>-26640.53</v>
      </c>
      <c r="O34" s="46">
        <v>6</v>
      </c>
      <c r="P34" s="18">
        <v>-37058.319999999992</v>
      </c>
      <c r="Q34" s="46">
        <v>9</v>
      </c>
      <c r="R34" s="18">
        <v>-127006.62000000001</v>
      </c>
      <c r="S34" s="133">
        <v>7</v>
      </c>
      <c r="T34" s="135">
        <v>-122384.13</v>
      </c>
      <c r="U34" s="17"/>
      <c r="V34" s="46">
        <v>18</v>
      </c>
      <c r="W34" s="18">
        <v>165913.01</v>
      </c>
      <c r="X34" s="46">
        <v>18</v>
      </c>
      <c r="Y34" s="18">
        <v>174276.57</v>
      </c>
      <c r="Z34" s="46">
        <v>10</v>
      </c>
      <c r="AA34" s="18">
        <v>137643.41999999998</v>
      </c>
      <c r="AB34" s="133">
        <v>15</v>
      </c>
      <c r="AC34" s="135">
        <v>159090.37</v>
      </c>
      <c r="AD34" s="214" t="str">
        <f t="shared" si="0"/>
        <v>OK</v>
      </c>
      <c r="AE34" t="s">
        <v>17</v>
      </c>
      <c r="AF34">
        <v>15</v>
      </c>
      <c r="AG34">
        <v>159090.37</v>
      </c>
    </row>
    <row r="35" spans="1:33" x14ac:dyDescent="0.25">
      <c r="A35" s="17" t="s">
        <v>18</v>
      </c>
      <c r="B35" s="36">
        <v>10880916.77</v>
      </c>
      <c r="C35" s="36">
        <v>10923982.849999998</v>
      </c>
      <c r="D35" s="36">
        <v>11818035</v>
      </c>
      <c r="E35" s="36">
        <v>10759232.560000004</v>
      </c>
      <c r="F35" s="36">
        <v>8754618.9100000001</v>
      </c>
      <c r="G35" s="115">
        <v>9293658.1599999983</v>
      </c>
      <c r="H35" s="17"/>
      <c r="I35" s="46">
        <v>20</v>
      </c>
      <c r="J35" s="18">
        <v>-341667.55</v>
      </c>
      <c r="K35" s="46">
        <v>26</v>
      </c>
      <c r="L35" s="18">
        <v>-376133.33000000007</v>
      </c>
      <c r="M35" s="46">
        <v>24</v>
      </c>
      <c r="N35" s="18">
        <v>-321008.63</v>
      </c>
      <c r="O35" s="46">
        <v>36</v>
      </c>
      <c r="P35" s="18">
        <v>-637411.91999999981</v>
      </c>
      <c r="Q35" s="46">
        <v>37</v>
      </c>
      <c r="R35" s="18">
        <v>-704859.49999999988</v>
      </c>
      <c r="S35" s="133">
        <v>33</v>
      </c>
      <c r="T35" s="135">
        <v>-386825.92999999993</v>
      </c>
      <c r="U35" s="17"/>
      <c r="V35" s="46">
        <v>53</v>
      </c>
      <c r="W35" s="18">
        <v>1375067.2400000002</v>
      </c>
      <c r="X35" s="46">
        <v>50</v>
      </c>
      <c r="Y35" s="18">
        <v>1190993.8900000001</v>
      </c>
      <c r="Z35" s="46">
        <v>38</v>
      </c>
      <c r="AA35" s="18">
        <v>853571.78999999992</v>
      </c>
      <c r="AB35" s="133">
        <v>37</v>
      </c>
      <c r="AC35" s="135">
        <v>702891.37</v>
      </c>
      <c r="AD35" s="214" t="str">
        <f t="shared" si="0"/>
        <v>OK</v>
      </c>
      <c r="AE35" t="s">
        <v>18</v>
      </c>
      <c r="AF35">
        <v>37</v>
      </c>
      <c r="AG35">
        <v>702891.37</v>
      </c>
    </row>
    <row r="36" spans="1:33" x14ac:dyDescent="0.25">
      <c r="A36" s="17" t="s">
        <v>19</v>
      </c>
      <c r="B36" s="36">
        <v>3772368.55</v>
      </c>
      <c r="C36" s="36">
        <v>3739125.27</v>
      </c>
      <c r="D36" s="36">
        <v>3313730</v>
      </c>
      <c r="E36" s="36">
        <v>3697039.6700000027</v>
      </c>
      <c r="F36" s="36">
        <v>3623821.8299999996</v>
      </c>
      <c r="G36" s="115">
        <v>3526149.2800000007</v>
      </c>
      <c r="H36" s="17"/>
      <c r="I36" s="46">
        <v>4</v>
      </c>
      <c r="J36" s="18">
        <v>-13256.09</v>
      </c>
      <c r="K36" s="46">
        <v>14</v>
      </c>
      <c r="L36" s="18">
        <v>-37419.33</v>
      </c>
      <c r="M36" s="46">
        <v>5</v>
      </c>
      <c r="N36" s="18">
        <v>-7832.3600000000006</v>
      </c>
      <c r="O36" s="46">
        <v>8</v>
      </c>
      <c r="P36" s="18">
        <v>-15159.23</v>
      </c>
      <c r="Q36" s="46">
        <v>4</v>
      </c>
      <c r="R36" s="18">
        <v>-32379.19</v>
      </c>
      <c r="S36" s="133">
        <v>5</v>
      </c>
      <c r="T36" s="135">
        <v>-16980.960000000003</v>
      </c>
      <c r="U36" s="17"/>
      <c r="V36" s="46">
        <v>12</v>
      </c>
      <c r="W36" s="18">
        <v>268811.53000000003</v>
      </c>
      <c r="X36" s="46">
        <v>9</v>
      </c>
      <c r="Y36" s="18">
        <v>265122.8</v>
      </c>
      <c r="Z36" s="46">
        <v>11</v>
      </c>
      <c r="AA36" s="18">
        <v>300308.02</v>
      </c>
      <c r="AB36" s="133">
        <v>8</v>
      </c>
      <c r="AC36" s="135">
        <v>115043.12</v>
      </c>
      <c r="AD36" s="214" t="str">
        <f t="shared" si="0"/>
        <v>OK</v>
      </c>
      <c r="AE36" t="s">
        <v>19</v>
      </c>
      <c r="AF36">
        <v>8</v>
      </c>
      <c r="AG36">
        <v>115043.12</v>
      </c>
    </row>
    <row r="37" spans="1:33" x14ac:dyDescent="0.25">
      <c r="A37" s="17" t="s">
        <v>31</v>
      </c>
      <c r="B37" s="36"/>
      <c r="C37" s="36"/>
      <c r="D37" s="36"/>
      <c r="E37" s="36"/>
      <c r="F37" s="36"/>
      <c r="G37" s="115"/>
      <c r="H37" s="17"/>
      <c r="I37" s="46">
        <v>0</v>
      </c>
      <c r="J37" s="18">
        <v>0</v>
      </c>
      <c r="K37" s="46">
        <v>0</v>
      </c>
      <c r="L37" s="18">
        <v>0</v>
      </c>
      <c r="M37" s="46">
        <v>0</v>
      </c>
      <c r="N37" s="18">
        <v>0</v>
      </c>
      <c r="O37" s="46">
        <v>0</v>
      </c>
      <c r="P37" s="18">
        <v>0</v>
      </c>
      <c r="Q37" s="46">
        <v>0</v>
      </c>
      <c r="R37" s="18">
        <v>0</v>
      </c>
      <c r="S37" s="133">
        <v>0</v>
      </c>
      <c r="T37" s="135">
        <v>0</v>
      </c>
      <c r="U37" s="17"/>
      <c r="V37" s="46"/>
      <c r="W37" s="18"/>
      <c r="X37" s="46">
        <v>0</v>
      </c>
      <c r="Y37" s="18"/>
      <c r="Z37" s="46">
        <v>0</v>
      </c>
      <c r="AA37" s="18"/>
      <c r="AB37" s="133">
        <v>0</v>
      </c>
      <c r="AC37" s="135"/>
      <c r="AD37" s="214" t="str">
        <f t="shared" si="0"/>
        <v>No</v>
      </c>
      <c r="AE37" t="s">
        <v>380</v>
      </c>
      <c r="AF37">
        <v>0</v>
      </c>
    </row>
    <row r="38" spans="1:33" x14ac:dyDescent="0.25">
      <c r="A38" s="17" t="s">
        <v>20</v>
      </c>
      <c r="B38" s="36">
        <v>1300573.3700000001</v>
      </c>
      <c r="C38" s="36">
        <v>1997299.79</v>
      </c>
      <c r="D38" s="36">
        <v>1668506.44</v>
      </c>
      <c r="E38" s="36">
        <v>1410332.5100000002</v>
      </c>
      <c r="F38" s="36">
        <v>579248.88999999943</v>
      </c>
      <c r="G38" s="115">
        <v>923542.78000000026</v>
      </c>
      <c r="H38" s="17"/>
      <c r="I38" s="46">
        <v>3</v>
      </c>
      <c r="J38" s="18">
        <v>-16096.65</v>
      </c>
      <c r="K38" s="46">
        <v>3</v>
      </c>
      <c r="L38" s="18">
        <v>-3584.81</v>
      </c>
      <c r="M38" s="46">
        <v>4</v>
      </c>
      <c r="N38" s="18">
        <v>-794.88</v>
      </c>
      <c r="O38" s="46">
        <v>4</v>
      </c>
      <c r="P38" s="18">
        <v>-9733.2199999999993</v>
      </c>
      <c r="Q38" s="46">
        <v>5</v>
      </c>
      <c r="R38" s="18">
        <v>-67569.939999999988</v>
      </c>
      <c r="S38" s="133">
        <v>7</v>
      </c>
      <c r="T38" s="135">
        <v>-121688.25</v>
      </c>
      <c r="U38" s="17"/>
      <c r="V38" s="46">
        <v>12</v>
      </c>
      <c r="W38" s="18">
        <v>90609.19</v>
      </c>
      <c r="X38" s="46">
        <v>11</v>
      </c>
      <c r="Y38" s="18">
        <v>101684.67000000001</v>
      </c>
      <c r="Z38" s="46">
        <v>11</v>
      </c>
      <c r="AA38" s="18">
        <v>120493.39</v>
      </c>
      <c r="AB38" s="133">
        <v>10</v>
      </c>
      <c r="AC38" s="135">
        <v>149227.70000000001</v>
      </c>
      <c r="AD38" s="214" t="str">
        <f t="shared" si="0"/>
        <v>OK</v>
      </c>
      <c r="AE38" t="s">
        <v>20</v>
      </c>
      <c r="AF38">
        <v>10</v>
      </c>
      <c r="AG38">
        <v>149227.70000000001</v>
      </c>
    </row>
    <row r="39" spans="1:33" x14ac:dyDescent="0.25">
      <c r="A39" s="17" t="s">
        <v>27</v>
      </c>
      <c r="B39" s="36"/>
      <c r="C39" s="36"/>
      <c r="D39" s="36"/>
      <c r="E39" s="36">
        <v>0</v>
      </c>
      <c r="F39" s="36">
        <v>0</v>
      </c>
      <c r="G39" s="115">
        <v>0</v>
      </c>
      <c r="H39" s="17"/>
      <c r="I39" s="46">
        <v>0</v>
      </c>
      <c r="J39" s="18">
        <v>0</v>
      </c>
      <c r="K39" s="46">
        <v>0</v>
      </c>
      <c r="L39" s="18">
        <v>0</v>
      </c>
      <c r="M39" s="46">
        <v>0</v>
      </c>
      <c r="N39" s="18">
        <v>0</v>
      </c>
      <c r="O39" s="46">
        <v>0</v>
      </c>
      <c r="P39" s="18">
        <v>0</v>
      </c>
      <c r="Q39" s="46">
        <v>0</v>
      </c>
      <c r="R39" s="18">
        <v>0</v>
      </c>
      <c r="S39" s="133">
        <v>0</v>
      </c>
      <c r="T39" s="135">
        <v>0</v>
      </c>
      <c r="U39" s="17"/>
      <c r="V39" s="46">
        <v>0</v>
      </c>
      <c r="W39" s="18">
        <v>0</v>
      </c>
      <c r="X39" s="46">
        <v>0</v>
      </c>
      <c r="Y39" s="18">
        <v>0</v>
      </c>
      <c r="Z39" s="46">
        <v>0</v>
      </c>
      <c r="AA39" s="18">
        <v>0</v>
      </c>
      <c r="AB39" s="133">
        <v>0</v>
      </c>
      <c r="AC39" s="135">
        <v>0</v>
      </c>
      <c r="AD39" s="214" t="str">
        <f t="shared" si="0"/>
        <v>OK</v>
      </c>
      <c r="AE39" t="s">
        <v>27</v>
      </c>
      <c r="AF39">
        <v>0</v>
      </c>
      <c r="AG39">
        <v>0</v>
      </c>
    </row>
    <row r="40" spans="1:33" x14ac:dyDescent="0.25">
      <c r="A40" s="17" t="s">
        <v>32</v>
      </c>
      <c r="B40" s="36">
        <v>286300.96999999997</v>
      </c>
      <c r="C40" s="36">
        <v>344501.33000000007</v>
      </c>
      <c r="D40" s="36">
        <v>346600.33</v>
      </c>
      <c r="E40" s="36">
        <v>203244.76000000004</v>
      </c>
      <c r="F40" s="36">
        <v>203525.76000000004</v>
      </c>
      <c r="G40" s="115">
        <v>242306.01</v>
      </c>
      <c r="H40" s="17"/>
      <c r="I40" s="46">
        <v>5</v>
      </c>
      <c r="J40" s="18">
        <v>-4426.8</v>
      </c>
      <c r="K40" s="46">
        <v>5</v>
      </c>
      <c r="L40" s="18">
        <v>-4226.3900000000003</v>
      </c>
      <c r="M40" s="46">
        <v>3</v>
      </c>
      <c r="N40" s="18">
        <v>-4131.4800000000005</v>
      </c>
      <c r="O40" s="46">
        <v>5</v>
      </c>
      <c r="P40" s="18">
        <v>-13370.570000000002</v>
      </c>
      <c r="Q40" s="46">
        <v>5</v>
      </c>
      <c r="R40" s="18">
        <v>-35868.68</v>
      </c>
      <c r="S40" s="133">
        <v>4</v>
      </c>
      <c r="T40" s="135">
        <v>-4566.8900000000003</v>
      </c>
      <c r="U40" s="17"/>
      <c r="V40" s="46">
        <v>11</v>
      </c>
      <c r="W40" s="18">
        <v>30515.090000000004</v>
      </c>
      <c r="X40" s="46">
        <v>11</v>
      </c>
      <c r="Y40" s="18">
        <v>17835.739999999998</v>
      </c>
      <c r="Z40" s="46">
        <v>6</v>
      </c>
      <c r="AA40" s="18">
        <v>8145.6100000000006</v>
      </c>
      <c r="AB40" s="133">
        <v>11</v>
      </c>
      <c r="AC40" s="135">
        <v>27721.269999999997</v>
      </c>
      <c r="AD40" s="214" t="str">
        <f t="shared" si="0"/>
        <v>OK</v>
      </c>
      <c r="AE40" t="s">
        <v>32</v>
      </c>
      <c r="AF40">
        <v>11</v>
      </c>
      <c r="AG40">
        <v>27721.269999999997</v>
      </c>
    </row>
    <row r="41" spans="1:33" x14ac:dyDescent="0.25">
      <c r="A41" s="17" t="s">
        <v>21</v>
      </c>
      <c r="B41" s="36">
        <v>4083407.2500000005</v>
      </c>
      <c r="C41" s="36">
        <v>4412360.37</v>
      </c>
      <c r="D41" s="36">
        <v>4428382.0600000005</v>
      </c>
      <c r="E41" s="36">
        <v>4129834.5199999991</v>
      </c>
      <c r="F41" s="36">
        <v>4553831.4900000012</v>
      </c>
      <c r="G41" s="115">
        <v>5769749.8799999999</v>
      </c>
      <c r="H41" s="17"/>
      <c r="I41" s="46">
        <v>7</v>
      </c>
      <c r="J41" s="18">
        <v>-28325.45</v>
      </c>
      <c r="K41" s="46">
        <v>5</v>
      </c>
      <c r="L41" s="18">
        <v>-9234.89</v>
      </c>
      <c r="M41" s="46">
        <v>5</v>
      </c>
      <c r="N41" s="18">
        <v>-42611.329999999994</v>
      </c>
      <c r="O41" s="46">
        <v>10</v>
      </c>
      <c r="P41" s="18">
        <v>-87635.85</v>
      </c>
      <c r="Q41" s="46">
        <v>5</v>
      </c>
      <c r="R41" s="18">
        <v>-56198.31</v>
      </c>
      <c r="S41" s="133">
        <v>4</v>
      </c>
      <c r="T41" s="135">
        <v>-23344.2</v>
      </c>
      <c r="U41" s="17"/>
      <c r="V41" s="46">
        <v>7</v>
      </c>
      <c r="W41" s="18">
        <v>22441.360000000001</v>
      </c>
      <c r="X41" s="46">
        <v>8</v>
      </c>
      <c r="Y41" s="18">
        <v>45211.69</v>
      </c>
      <c r="Z41" s="46">
        <v>12</v>
      </c>
      <c r="AA41" s="18">
        <v>217572.31</v>
      </c>
      <c r="AB41" s="133">
        <v>21</v>
      </c>
      <c r="AC41" s="135">
        <v>43651.37</v>
      </c>
      <c r="AD41" s="214" t="str">
        <f t="shared" si="0"/>
        <v>OK</v>
      </c>
      <c r="AE41" t="s">
        <v>21</v>
      </c>
      <c r="AF41">
        <v>21</v>
      </c>
      <c r="AG41">
        <v>43651.37</v>
      </c>
    </row>
    <row r="42" spans="1:33" x14ac:dyDescent="0.25">
      <c r="A42" s="17" t="s">
        <v>43</v>
      </c>
      <c r="B42" s="36">
        <v>6575068.7600000007</v>
      </c>
      <c r="C42" s="36">
        <v>7091291.29</v>
      </c>
      <c r="D42" s="36">
        <v>7436456</v>
      </c>
      <c r="E42" s="36">
        <v>7248933.3799999934</v>
      </c>
      <c r="F42" s="36">
        <v>6470497.370000002</v>
      </c>
      <c r="G42" s="115">
        <v>6827279.6699999925</v>
      </c>
      <c r="H42" s="17"/>
      <c r="I42" s="46">
        <v>23</v>
      </c>
      <c r="J42" s="18">
        <v>-155419.5</v>
      </c>
      <c r="K42" s="46">
        <v>25</v>
      </c>
      <c r="L42" s="18">
        <v>-251498.68</v>
      </c>
      <c r="M42" s="46">
        <v>19</v>
      </c>
      <c r="N42" s="18">
        <v>-121013.5</v>
      </c>
      <c r="O42" s="46">
        <v>21</v>
      </c>
      <c r="P42" s="18">
        <v>-110950.44999999997</v>
      </c>
      <c r="Q42" s="46">
        <v>26</v>
      </c>
      <c r="R42" s="18">
        <v>-160708.20000000001</v>
      </c>
      <c r="S42" s="133">
        <v>22</v>
      </c>
      <c r="T42" s="135">
        <v>-107130.62</v>
      </c>
      <c r="U42" s="17"/>
      <c r="V42" s="46">
        <v>37</v>
      </c>
      <c r="W42" s="18">
        <v>118666.37</v>
      </c>
      <c r="X42" s="46">
        <v>31</v>
      </c>
      <c r="Y42" s="18">
        <v>119354.77</v>
      </c>
      <c r="Z42" s="46">
        <v>28</v>
      </c>
      <c r="AA42" s="18">
        <v>157226.53</v>
      </c>
      <c r="AB42" s="133">
        <v>35</v>
      </c>
      <c r="AC42" s="135">
        <v>271164.13</v>
      </c>
      <c r="AD42" s="214" t="str">
        <f t="shared" si="0"/>
        <v>OK</v>
      </c>
      <c r="AE42" t="s">
        <v>43</v>
      </c>
      <c r="AF42">
        <v>35</v>
      </c>
      <c r="AG42">
        <v>271164.13</v>
      </c>
    </row>
    <row r="43" spans="1:33" x14ac:dyDescent="0.25">
      <c r="A43" s="17" t="s">
        <v>44</v>
      </c>
      <c r="B43" s="36">
        <v>6228292.9899999993</v>
      </c>
      <c r="C43" s="36">
        <v>6804237.2600000016</v>
      </c>
      <c r="D43" s="36">
        <v>6275062</v>
      </c>
      <c r="E43" s="36">
        <v>5814718.7599999998</v>
      </c>
      <c r="F43" s="36">
        <v>6106256.0000000019</v>
      </c>
      <c r="G43" s="115">
        <v>6226791.7999999952</v>
      </c>
      <c r="H43" s="17"/>
      <c r="I43" s="46">
        <v>2</v>
      </c>
      <c r="J43" s="18">
        <v>-2855.42</v>
      </c>
      <c r="K43" s="46">
        <v>2</v>
      </c>
      <c r="L43" s="18">
        <v>-754.87</v>
      </c>
      <c r="M43" s="46">
        <v>0</v>
      </c>
      <c r="N43" s="18">
        <v>0</v>
      </c>
      <c r="O43" s="46">
        <v>1</v>
      </c>
      <c r="P43" s="18">
        <v>-547.53</v>
      </c>
      <c r="Q43" s="46">
        <v>1</v>
      </c>
      <c r="R43" s="18">
        <v>-857.78</v>
      </c>
      <c r="S43" s="133">
        <v>1</v>
      </c>
      <c r="T43" s="135">
        <v>-359.73</v>
      </c>
      <c r="U43" s="17"/>
      <c r="V43" s="46">
        <v>36</v>
      </c>
      <c r="W43" s="18">
        <v>174488.79</v>
      </c>
      <c r="X43" s="46">
        <v>39</v>
      </c>
      <c r="Y43" s="18">
        <v>126993.59</v>
      </c>
      <c r="Z43" s="46">
        <v>38</v>
      </c>
      <c r="AA43" s="18">
        <v>78030.39</v>
      </c>
      <c r="AB43" s="133">
        <v>17</v>
      </c>
      <c r="AC43" s="135">
        <v>47779.729999999996</v>
      </c>
      <c r="AD43" s="214" t="str">
        <f t="shared" si="0"/>
        <v>OK</v>
      </c>
      <c r="AE43" t="s">
        <v>44</v>
      </c>
      <c r="AF43">
        <v>17</v>
      </c>
      <c r="AG43">
        <v>47779.729999999996</v>
      </c>
    </row>
    <row r="44" spans="1:33" x14ac:dyDescent="0.25">
      <c r="A44" s="17" t="s">
        <v>35</v>
      </c>
      <c r="B44" s="36">
        <v>0</v>
      </c>
      <c r="C44" s="36">
        <v>0</v>
      </c>
      <c r="D44" s="36">
        <v>0</v>
      </c>
      <c r="E44" s="36">
        <v>0</v>
      </c>
      <c r="F44" s="36">
        <v>0</v>
      </c>
      <c r="G44" s="115">
        <v>0</v>
      </c>
      <c r="H44" s="17"/>
      <c r="I44" s="46">
        <v>1</v>
      </c>
      <c r="J44" s="18">
        <v>-5551.3</v>
      </c>
      <c r="K44" s="46">
        <v>1</v>
      </c>
      <c r="L44" s="18">
        <v>-5551.3</v>
      </c>
      <c r="M44" s="46">
        <v>0</v>
      </c>
      <c r="N44" s="18">
        <v>0</v>
      </c>
      <c r="O44" s="46">
        <v>0</v>
      </c>
      <c r="P44" s="18">
        <v>0</v>
      </c>
      <c r="Q44" s="46">
        <v>0</v>
      </c>
      <c r="R44" s="18">
        <v>0</v>
      </c>
      <c r="S44" s="133">
        <v>0</v>
      </c>
      <c r="T44" s="135">
        <v>0</v>
      </c>
      <c r="U44" s="17"/>
      <c r="V44" s="46">
        <v>0</v>
      </c>
      <c r="W44" s="18">
        <v>0</v>
      </c>
      <c r="X44" s="46">
        <v>0</v>
      </c>
      <c r="Y44" s="18">
        <v>0</v>
      </c>
      <c r="Z44" s="46">
        <v>0</v>
      </c>
      <c r="AA44" s="18">
        <v>0</v>
      </c>
      <c r="AB44" s="133">
        <v>0</v>
      </c>
      <c r="AC44" s="135">
        <v>0</v>
      </c>
      <c r="AD44" s="214" t="str">
        <f t="shared" si="0"/>
        <v>OK</v>
      </c>
      <c r="AE44" t="s">
        <v>35</v>
      </c>
      <c r="AF44">
        <v>0</v>
      </c>
      <c r="AG44">
        <v>0</v>
      </c>
    </row>
    <row r="45" spans="1:33" x14ac:dyDescent="0.25">
      <c r="A45" s="17" t="s">
        <v>36</v>
      </c>
      <c r="B45" s="36">
        <v>5011.72</v>
      </c>
      <c r="C45" s="36">
        <v>3067.13</v>
      </c>
      <c r="D45" s="36">
        <v>16362.17</v>
      </c>
      <c r="E45" s="36">
        <v>24206.550000000003</v>
      </c>
      <c r="F45" s="36">
        <v>31388.68</v>
      </c>
      <c r="G45" s="115">
        <v>36580.420000000006</v>
      </c>
      <c r="H45" s="17"/>
      <c r="I45" s="46">
        <v>1</v>
      </c>
      <c r="J45" s="18">
        <v>-419.29</v>
      </c>
      <c r="K45" s="46">
        <v>1</v>
      </c>
      <c r="L45" s="18">
        <v>-3436.05</v>
      </c>
      <c r="M45" s="46">
        <v>0</v>
      </c>
      <c r="N45" s="18">
        <v>0</v>
      </c>
      <c r="O45" s="46"/>
      <c r="P45" s="18"/>
      <c r="Q45" s="46"/>
      <c r="R45" s="18"/>
      <c r="S45" s="133"/>
      <c r="T45" s="135"/>
      <c r="U45" s="17"/>
      <c r="V45" s="46">
        <v>1</v>
      </c>
      <c r="W45" s="18">
        <v>0.76</v>
      </c>
      <c r="X45" s="46">
        <v>1</v>
      </c>
      <c r="Y45" s="18">
        <v>6.78</v>
      </c>
      <c r="Z45" s="46">
        <v>0</v>
      </c>
      <c r="AA45" s="18">
        <v>0</v>
      </c>
      <c r="AB45" s="133">
        <v>3</v>
      </c>
      <c r="AC45" s="135">
        <v>8509.94</v>
      </c>
      <c r="AD45" s="214" t="str">
        <f t="shared" si="0"/>
        <v>OK</v>
      </c>
      <c r="AE45" t="s">
        <v>36</v>
      </c>
      <c r="AF45">
        <v>3</v>
      </c>
      <c r="AG45">
        <v>8509.94</v>
      </c>
    </row>
    <row r="46" spans="1:33" x14ac:dyDescent="0.25">
      <c r="A46" s="17" t="s">
        <v>37</v>
      </c>
      <c r="B46" s="36">
        <v>3211390.1</v>
      </c>
      <c r="C46" s="36">
        <v>3103009.05</v>
      </c>
      <c r="D46" s="36">
        <v>3085465</v>
      </c>
      <c r="E46" s="36">
        <v>2125690.81</v>
      </c>
      <c r="F46" s="36">
        <v>3978685.56</v>
      </c>
      <c r="G46" s="115">
        <v>18830702.749999996</v>
      </c>
      <c r="H46" s="17"/>
      <c r="I46" s="46">
        <v>3</v>
      </c>
      <c r="J46" s="18">
        <v>-35612.159999999996</v>
      </c>
      <c r="K46" s="46">
        <v>5</v>
      </c>
      <c r="L46" s="18">
        <v>-50751.070000000007</v>
      </c>
      <c r="M46" s="46">
        <v>6</v>
      </c>
      <c r="N46" s="18">
        <v>-32317.21</v>
      </c>
      <c r="O46" s="46">
        <v>4</v>
      </c>
      <c r="P46" s="18">
        <v>-28774.82</v>
      </c>
      <c r="Q46" s="46">
        <v>4</v>
      </c>
      <c r="R46" s="18">
        <v>-16547</v>
      </c>
      <c r="S46" s="133">
        <v>5</v>
      </c>
      <c r="T46" s="135">
        <v>-377188.9</v>
      </c>
      <c r="U46" s="17"/>
      <c r="V46" s="46">
        <v>19</v>
      </c>
      <c r="W46" s="18">
        <v>464081.95999999996</v>
      </c>
      <c r="X46" s="46">
        <v>18</v>
      </c>
      <c r="Y46" s="18">
        <v>139331.28999999998</v>
      </c>
      <c r="Z46" s="46">
        <v>4</v>
      </c>
      <c r="AA46" s="18">
        <v>104966.84</v>
      </c>
      <c r="AB46" s="133">
        <v>20</v>
      </c>
      <c r="AC46" s="135">
        <v>45337.759999999951</v>
      </c>
      <c r="AD46" s="214" t="str">
        <f t="shared" si="0"/>
        <v>OK</v>
      </c>
      <c r="AE46" t="s">
        <v>37</v>
      </c>
      <c r="AF46">
        <v>20</v>
      </c>
      <c r="AG46">
        <v>45337.759999999951</v>
      </c>
    </row>
    <row r="47" spans="1:33" x14ac:dyDescent="0.25">
      <c r="A47" s="17" t="s">
        <v>38</v>
      </c>
      <c r="B47" s="36">
        <v>4206238.99</v>
      </c>
      <c r="C47" s="36">
        <v>4324322.17</v>
      </c>
      <c r="D47" s="36">
        <v>4085026</v>
      </c>
      <c r="E47" s="36">
        <v>4771130.2600000007</v>
      </c>
      <c r="F47" s="36">
        <v>5211954.07</v>
      </c>
      <c r="G47" s="115">
        <v>5475366.2599999998</v>
      </c>
      <c r="H47" s="17"/>
      <c r="I47" s="46">
        <v>8</v>
      </c>
      <c r="J47" s="18">
        <v>-215239.34000000003</v>
      </c>
      <c r="K47" s="46">
        <v>9</v>
      </c>
      <c r="L47" s="18">
        <v>-213285.62</v>
      </c>
      <c r="M47" s="46">
        <v>7</v>
      </c>
      <c r="N47" s="18">
        <v>-199958.17</v>
      </c>
      <c r="O47" s="46">
        <v>7</v>
      </c>
      <c r="P47" s="18">
        <v>-220176.65</v>
      </c>
      <c r="Q47" s="46">
        <v>7</v>
      </c>
      <c r="R47" s="18">
        <v>-208448.45999999996</v>
      </c>
      <c r="S47" s="133">
        <v>8</v>
      </c>
      <c r="T47" s="135">
        <v>-260816.18999999997</v>
      </c>
      <c r="U47" s="17"/>
      <c r="V47" s="46">
        <v>12</v>
      </c>
      <c r="W47" s="18">
        <v>147392.98000000001</v>
      </c>
      <c r="X47" s="46">
        <v>12</v>
      </c>
      <c r="Y47" s="18">
        <v>166726.25</v>
      </c>
      <c r="Z47" s="46">
        <v>4</v>
      </c>
      <c r="AA47" s="18">
        <v>49176.17</v>
      </c>
      <c r="AB47" s="133">
        <v>13</v>
      </c>
      <c r="AC47" s="135">
        <v>402660.74</v>
      </c>
      <c r="AD47" s="214" t="str">
        <f t="shared" si="0"/>
        <v>OK</v>
      </c>
      <c r="AE47" t="s">
        <v>38</v>
      </c>
      <c r="AF47">
        <v>13</v>
      </c>
      <c r="AG47">
        <v>402660.74</v>
      </c>
    </row>
    <row r="48" spans="1:33" x14ac:dyDescent="0.25">
      <c r="A48" s="17" t="s">
        <v>39</v>
      </c>
      <c r="B48" s="36"/>
      <c r="C48" s="36"/>
      <c r="D48" s="36"/>
      <c r="E48" s="36">
        <v>0</v>
      </c>
      <c r="F48" s="36">
        <v>0</v>
      </c>
      <c r="G48" s="115">
        <v>0</v>
      </c>
      <c r="H48" s="17"/>
      <c r="I48" s="46">
        <v>0</v>
      </c>
      <c r="J48" s="18">
        <v>0</v>
      </c>
      <c r="K48" s="46">
        <v>0</v>
      </c>
      <c r="L48" s="18">
        <v>0</v>
      </c>
      <c r="M48" s="46">
        <v>0</v>
      </c>
      <c r="N48" s="18">
        <v>0</v>
      </c>
      <c r="O48" s="46">
        <v>0</v>
      </c>
      <c r="P48" s="18">
        <v>0</v>
      </c>
      <c r="Q48" s="46">
        <v>0</v>
      </c>
      <c r="R48" s="18">
        <v>0</v>
      </c>
      <c r="S48" s="133">
        <v>0</v>
      </c>
      <c r="T48" s="135">
        <v>0</v>
      </c>
      <c r="U48" s="17"/>
      <c r="V48" s="46">
        <v>0</v>
      </c>
      <c r="W48" s="18">
        <v>0</v>
      </c>
      <c r="X48" s="46">
        <v>0</v>
      </c>
      <c r="Y48" s="18">
        <v>0</v>
      </c>
      <c r="Z48" s="46">
        <v>0</v>
      </c>
      <c r="AA48" s="18">
        <v>0</v>
      </c>
      <c r="AB48" s="133">
        <v>0</v>
      </c>
      <c r="AC48" s="135">
        <v>0</v>
      </c>
      <c r="AD48" s="214" t="str">
        <f t="shared" si="0"/>
        <v>OK</v>
      </c>
      <c r="AE48" t="s">
        <v>39</v>
      </c>
      <c r="AF48">
        <v>0</v>
      </c>
      <c r="AG48">
        <v>0</v>
      </c>
    </row>
    <row r="49" spans="1:33" x14ac:dyDescent="0.25">
      <c r="A49" s="17" t="s">
        <v>40</v>
      </c>
      <c r="B49" s="36">
        <v>-70.990000000000009</v>
      </c>
      <c r="C49" s="36">
        <v>0</v>
      </c>
      <c r="D49" s="36">
        <v>0</v>
      </c>
      <c r="E49" s="36">
        <v>0</v>
      </c>
      <c r="F49" s="36">
        <v>0</v>
      </c>
      <c r="G49" s="115">
        <v>0</v>
      </c>
      <c r="H49" s="17"/>
      <c r="I49" s="46">
        <v>4</v>
      </c>
      <c r="J49" s="18">
        <v>-124.84</v>
      </c>
      <c r="K49" s="46">
        <v>0</v>
      </c>
      <c r="L49" s="18">
        <v>0</v>
      </c>
      <c r="M49" s="46">
        <v>0</v>
      </c>
      <c r="N49" s="18">
        <v>0</v>
      </c>
      <c r="O49" s="46">
        <v>0</v>
      </c>
      <c r="P49" s="18">
        <v>0</v>
      </c>
      <c r="Q49" s="46">
        <v>0</v>
      </c>
      <c r="R49" s="18">
        <v>0</v>
      </c>
      <c r="S49" s="133">
        <v>0</v>
      </c>
      <c r="T49" s="135">
        <v>0</v>
      </c>
      <c r="U49" s="17"/>
      <c r="V49" s="46">
        <v>0</v>
      </c>
      <c r="W49" s="18">
        <v>0</v>
      </c>
      <c r="X49" s="46">
        <v>0</v>
      </c>
      <c r="Y49" s="18">
        <v>0</v>
      </c>
      <c r="Z49" s="46">
        <v>0</v>
      </c>
      <c r="AA49" s="18">
        <v>0</v>
      </c>
      <c r="AB49" s="133">
        <v>0</v>
      </c>
      <c r="AC49" s="135">
        <v>0</v>
      </c>
      <c r="AD49" s="214" t="str">
        <f t="shared" si="0"/>
        <v>No</v>
      </c>
      <c r="AE49" t="s">
        <v>391</v>
      </c>
      <c r="AF49">
        <v>0</v>
      </c>
      <c r="AG49">
        <v>0</v>
      </c>
    </row>
    <row r="50" spans="1:33" x14ac:dyDescent="0.25">
      <c r="A50" s="17" t="s">
        <v>41</v>
      </c>
      <c r="B50" s="36">
        <v>3532704.45</v>
      </c>
      <c r="C50" s="36">
        <v>4127664.4800000004</v>
      </c>
      <c r="D50" s="36">
        <v>4844366.93</v>
      </c>
      <c r="E50" s="36">
        <v>4684533.6099999994</v>
      </c>
      <c r="F50" s="36">
        <v>5550791.1799999997</v>
      </c>
      <c r="G50" s="115">
        <v>6708442.8999999976</v>
      </c>
      <c r="H50" s="17"/>
      <c r="I50" s="46">
        <v>7</v>
      </c>
      <c r="J50" s="18">
        <v>-50904.959999999999</v>
      </c>
      <c r="K50" s="46">
        <v>8</v>
      </c>
      <c r="L50" s="18">
        <v>-6661.2199999999993</v>
      </c>
      <c r="M50" s="46">
        <v>5</v>
      </c>
      <c r="N50" s="18">
        <v>-17547.969999999998</v>
      </c>
      <c r="O50" s="46">
        <v>8</v>
      </c>
      <c r="P50" s="18">
        <v>-55299.259999999995</v>
      </c>
      <c r="Q50" s="46">
        <v>5</v>
      </c>
      <c r="R50" s="18">
        <v>-28044.269999999993</v>
      </c>
      <c r="S50" s="133">
        <v>6</v>
      </c>
      <c r="T50" s="135">
        <v>-25276.42</v>
      </c>
      <c r="U50" s="17"/>
      <c r="V50" s="46">
        <v>58</v>
      </c>
      <c r="W50" s="18">
        <v>522134.55</v>
      </c>
      <c r="X50" s="46">
        <v>62</v>
      </c>
      <c r="Y50" s="18">
        <v>193325.72999999998</v>
      </c>
      <c r="Z50" s="46">
        <v>24</v>
      </c>
      <c r="AA50" s="18">
        <v>214767.88999999996</v>
      </c>
      <c r="AB50" s="133">
        <v>59</v>
      </c>
      <c r="AC50" s="135">
        <v>498364.79</v>
      </c>
      <c r="AD50" s="214" t="str">
        <f t="shared" si="0"/>
        <v>OK</v>
      </c>
      <c r="AE50" t="s">
        <v>41</v>
      </c>
      <c r="AF50">
        <v>59</v>
      </c>
      <c r="AG50">
        <v>498364.79</v>
      </c>
    </row>
    <row r="51" spans="1:33" x14ac:dyDescent="0.25">
      <c r="A51" s="17" t="s">
        <v>42</v>
      </c>
      <c r="B51" s="36">
        <v>2402190.7599999998</v>
      </c>
      <c r="C51" s="36">
        <v>2631997.29</v>
      </c>
      <c r="D51" s="36">
        <v>2930558</v>
      </c>
      <c r="E51" s="36">
        <v>3001971.7</v>
      </c>
      <c r="F51" s="36">
        <v>1871416.0100000002</v>
      </c>
      <c r="G51" s="115">
        <v>2147762.0700000003</v>
      </c>
      <c r="H51" s="17"/>
      <c r="I51" s="46">
        <v>20</v>
      </c>
      <c r="J51" s="18">
        <v>-245736.06</v>
      </c>
      <c r="K51" s="46">
        <v>22</v>
      </c>
      <c r="L51" s="18">
        <v>-123419.18</v>
      </c>
      <c r="M51" s="46">
        <v>26</v>
      </c>
      <c r="N51" s="18">
        <v>-103359.20999999999</v>
      </c>
      <c r="O51" s="46">
        <v>28</v>
      </c>
      <c r="P51" s="18">
        <v>-191677.61</v>
      </c>
      <c r="Q51" s="46">
        <v>15</v>
      </c>
      <c r="R51" s="18">
        <v>-93162.84</v>
      </c>
      <c r="S51" s="133">
        <v>8</v>
      </c>
      <c r="T51" s="135">
        <v>-33272.17</v>
      </c>
      <c r="U51" s="17"/>
      <c r="V51" s="46">
        <v>27</v>
      </c>
      <c r="W51" s="18">
        <v>211845.1</v>
      </c>
      <c r="X51" s="46">
        <v>27</v>
      </c>
      <c r="Y51" s="18">
        <v>226155.39</v>
      </c>
      <c r="Z51" s="46">
        <v>12</v>
      </c>
      <c r="AA51" s="18">
        <v>3750.7900000000045</v>
      </c>
      <c r="AB51" s="133">
        <v>25</v>
      </c>
      <c r="AC51" s="135">
        <v>242051.9</v>
      </c>
      <c r="AD51" s="214" t="str">
        <f t="shared" si="0"/>
        <v>OK</v>
      </c>
      <c r="AE51" t="s">
        <v>42</v>
      </c>
      <c r="AF51">
        <v>25</v>
      </c>
      <c r="AG51">
        <v>242051.9</v>
      </c>
    </row>
    <row r="52" spans="1:33" x14ac:dyDescent="0.25">
      <c r="A52" s="17"/>
      <c r="B52" s="17"/>
      <c r="C52" s="17"/>
      <c r="D52" s="17"/>
      <c r="E52" s="17"/>
      <c r="F52" s="17"/>
      <c r="G52" s="116"/>
      <c r="H52" s="17"/>
      <c r="I52" s="17"/>
      <c r="J52" s="17"/>
      <c r="K52" s="17"/>
      <c r="L52" s="17"/>
      <c r="M52" s="17"/>
      <c r="N52" s="17"/>
      <c r="O52" s="17"/>
      <c r="P52" s="17"/>
      <c r="Q52" s="17"/>
      <c r="R52" s="17"/>
      <c r="S52" s="17"/>
      <c r="T52" s="17"/>
      <c r="U52" s="17"/>
      <c r="V52" s="17"/>
      <c r="W52" s="17"/>
      <c r="X52" s="17"/>
      <c r="Y52" s="17"/>
      <c r="Z52" s="17"/>
      <c r="AA52" s="17"/>
      <c r="AB52" s="116"/>
      <c r="AC52" s="116"/>
    </row>
    <row r="53" spans="1:33" ht="15.75" thickBot="1" x14ac:dyDescent="0.3">
      <c r="A53" s="26" t="s">
        <v>129</v>
      </c>
      <c r="B53" s="37">
        <v>510868935.22000003</v>
      </c>
      <c r="C53" s="37">
        <v>540176847.08999991</v>
      </c>
      <c r="D53" s="37">
        <v>575983925.42999995</v>
      </c>
      <c r="E53" s="37">
        <v>606836102.05999994</v>
      </c>
      <c r="F53" s="37">
        <v>631307518.1699996</v>
      </c>
      <c r="G53" s="114">
        <f>SUM(G6:G51)</f>
        <v>697184338.20999908</v>
      </c>
      <c r="H53" s="17"/>
      <c r="I53" s="29">
        <v>1294</v>
      </c>
      <c r="J53" s="37">
        <v>-27323724.400000006</v>
      </c>
      <c r="K53" s="29">
        <v>1489</v>
      </c>
      <c r="L53" s="37">
        <v>-15189037.060000001</v>
      </c>
      <c r="M53" s="29">
        <v>1593</v>
      </c>
      <c r="N53" s="37">
        <v>-16271120.850000005</v>
      </c>
      <c r="O53" s="29">
        <v>1743</v>
      </c>
      <c r="P53" s="37">
        <v>-19332194.109999996</v>
      </c>
      <c r="Q53" s="29">
        <v>1568</v>
      </c>
      <c r="R53" s="37">
        <v>-21773834.830000002</v>
      </c>
      <c r="S53" s="131">
        <f>SUM(S6:S51)</f>
        <v>1529</v>
      </c>
      <c r="T53" s="114">
        <f>SUM(T6:T51)</f>
        <v>-30321901.500000007</v>
      </c>
      <c r="U53" s="17"/>
      <c r="V53" s="29">
        <v>1960</v>
      </c>
      <c r="W53" s="37">
        <v>45865088.279999994</v>
      </c>
      <c r="X53" s="29">
        <v>2094</v>
      </c>
      <c r="Y53" s="37">
        <v>49914719.49000001</v>
      </c>
      <c r="Z53" s="29">
        <v>2057</v>
      </c>
      <c r="AA53" s="37">
        <v>54241749.920000009</v>
      </c>
      <c r="AB53" s="131">
        <f>SUM(AB6:AB51)</f>
        <v>2240</v>
      </c>
      <c r="AC53" s="114">
        <f>SUM(AC6:AC51)</f>
        <v>63035940.899999991</v>
      </c>
    </row>
    <row r="54" spans="1:33" ht="15.75" thickTop="1" x14ac:dyDescent="0.25"/>
  </sheetData>
  <sortState ref="AE6:AG61">
    <sortCondition ref="AE6"/>
  </sortState>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P54"/>
  <sheetViews>
    <sheetView workbookViewId="0">
      <pane xSplit="1" ySplit="5" topLeftCell="AD30" activePane="bottomRight" state="frozen"/>
      <selection activeCell="C8" sqref="C8"/>
      <selection pane="topRight" activeCell="C8" sqref="C8"/>
      <selection pane="bottomLeft" activeCell="C8" sqref="C8"/>
      <selection pane="bottomRight" activeCell="C8" sqref="C8"/>
    </sheetView>
  </sheetViews>
  <sheetFormatPr defaultRowHeight="15" x14ac:dyDescent="0.25"/>
  <cols>
    <col min="1" max="1" width="49.28515625" bestFit="1" customWidth="1"/>
    <col min="2" max="6" width="12.5703125" bestFit="1" customWidth="1"/>
    <col min="7" max="7" width="2.7109375" style="5" customWidth="1"/>
    <col min="8" max="8" width="11.5703125" bestFit="1" customWidth="1"/>
    <col min="9" max="9" width="7.140625" bestFit="1" customWidth="1"/>
    <col min="10" max="10" width="11.5703125" bestFit="1" customWidth="1"/>
    <col min="11" max="11" width="7.140625" bestFit="1" customWidth="1"/>
    <col min="12" max="12" width="11.5703125" bestFit="1" customWidth="1"/>
    <col min="13" max="13" width="7.7109375" bestFit="1" customWidth="1"/>
    <col min="14" max="14" width="11.5703125" bestFit="1" customWidth="1"/>
    <col min="15" max="15" width="7.7109375" bestFit="1" customWidth="1"/>
    <col min="16" max="16" width="11.5703125" bestFit="1" customWidth="1"/>
    <col min="17" max="17" width="7.7109375" bestFit="1" customWidth="1"/>
    <col min="18" max="18" width="2.7109375" style="5" customWidth="1"/>
    <col min="19" max="19" width="18.42578125" bestFit="1" customWidth="1"/>
    <col min="20" max="20" width="6.140625" bestFit="1" customWidth="1"/>
    <col min="21" max="21" width="11.5703125" bestFit="1" customWidth="1"/>
    <col min="22" max="22" width="6.140625" bestFit="1" customWidth="1"/>
    <col min="23" max="23" width="11.5703125" bestFit="1" customWidth="1"/>
    <col min="24" max="24" width="7.7109375" bestFit="1" customWidth="1"/>
    <col min="25" max="25" width="11.5703125" bestFit="1" customWidth="1"/>
    <col min="26" max="26" width="7.7109375" bestFit="1" customWidth="1"/>
    <col min="27" max="27" width="11.5703125" bestFit="1" customWidth="1"/>
    <col min="28" max="28" width="7.7109375" bestFit="1" customWidth="1"/>
    <col min="29" max="29" width="2.7109375" style="5" customWidth="1"/>
    <col min="30" max="30" width="9.5703125" customWidth="1"/>
    <col min="31" max="31" width="10.5703125" bestFit="1" customWidth="1"/>
    <col min="32" max="32" width="7.42578125" bestFit="1" customWidth="1"/>
    <col min="33" max="33" width="10.5703125" bestFit="1" customWidth="1"/>
    <col min="34" max="34" width="7.42578125" bestFit="1" customWidth="1"/>
    <col min="35" max="35" width="10.5703125" bestFit="1" customWidth="1"/>
    <col min="36" max="36" width="7.42578125" bestFit="1" customWidth="1"/>
    <col min="37" max="37" width="10.5703125" bestFit="1" customWidth="1"/>
    <col min="38" max="38" width="7.42578125" bestFit="1" customWidth="1"/>
    <col min="39" max="39" width="10.5703125" bestFit="1" customWidth="1"/>
    <col min="41" max="41" width="31.5703125" customWidth="1"/>
  </cols>
  <sheetData>
    <row r="1" spans="1:42" x14ac:dyDescent="0.25">
      <c r="A1" s="30">
        <v>1</v>
      </c>
      <c r="B1" s="30">
        <v>2</v>
      </c>
      <c r="C1" s="30">
        <v>3</v>
      </c>
      <c r="D1" s="30">
        <v>4</v>
      </c>
      <c r="E1" s="30">
        <v>5</v>
      </c>
      <c r="F1" s="30">
        <v>6</v>
      </c>
      <c r="G1" s="30">
        <v>7</v>
      </c>
      <c r="H1" s="30">
        <v>8</v>
      </c>
      <c r="I1" s="30">
        <v>9</v>
      </c>
      <c r="J1" s="30">
        <v>10</v>
      </c>
      <c r="K1" s="30">
        <v>11</v>
      </c>
      <c r="L1" s="30">
        <v>12</v>
      </c>
      <c r="M1" s="30">
        <v>13</v>
      </c>
      <c r="N1" s="30">
        <v>14</v>
      </c>
      <c r="O1" s="30">
        <v>15</v>
      </c>
      <c r="P1" s="30">
        <v>16</v>
      </c>
      <c r="Q1" s="30">
        <v>17</v>
      </c>
      <c r="R1" s="30">
        <v>18</v>
      </c>
      <c r="S1" s="30">
        <v>19</v>
      </c>
      <c r="T1" s="30">
        <v>20</v>
      </c>
      <c r="U1" s="30">
        <v>21</v>
      </c>
      <c r="V1" s="30">
        <v>22</v>
      </c>
      <c r="W1" s="30">
        <v>23</v>
      </c>
      <c r="X1" s="30">
        <v>24</v>
      </c>
      <c r="Y1" s="30">
        <v>25</v>
      </c>
      <c r="Z1" s="30">
        <v>26</v>
      </c>
      <c r="AA1" s="30">
        <v>27</v>
      </c>
      <c r="AB1" s="30">
        <v>28</v>
      </c>
      <c r="AC1" s="30">
        <v>29</v>
      </c>
      <c r="AD1" s="30">
        <v>30</v>
      </c>
      <c r="AE1" s="30">
        <v>31</v>
      </c>
      <c r="AF1" s="30">
        <v>32</v>
      </c>
      <c r="AG1" s="30">
        <v>33</v>
      </c>
      <c r="AH1" s="30">
        <v>34</v>
      </c>
      <c r="AI1" s="30">
        <v>35</v>
      </c>
      <c r="AJ1" s="30">
        <v>36</v>
      </c>
      <c r="AK1" s="30">
        <v>37</v>
      </c>
      <c r="AL1" s="30">
        <v>38</v>
      </c>
      <c r="AM1" s="30">
        <v>39</v>
      </c>
    </row>
    <row r="2" spans="1:42" x14ac:dyDescent="0.25">
      <c r="B2" s="53" t="s">
        <v>201</v>
      </c>
      <c r="C2" s="53"/>
      <c r="D2" s="53"/>
      <c r="E2" s="53"/>
      <c r="F2" s="53"/>
      <c r="G2" s="39"/>
      <c r="H2" s="53"/>
      <c r="I2" s="53"/>
      <c r="J2" s="53"/>
      <c r="K2" s="53"/>
      <c r="L2" s="53"/>
      <c r="M2" s="53"/>
      <c r="N2" s="53"/>
      <c r="O2" s="53"/>
      <c r="P2" s="53"/>
      <c r="Q2" s="53"/>
      <c r="R2" s="39"/>
      <c r="S2" s="53"/>
      <c r="T2" s="53"/>
      <c r="U2" s="53"/>
      <c r="V2" s="53"/>
      <c r="W2" s="53"/>
      <c r="X2" s="53"/>
      <c r="Y2" s="53"/>
      <c r="Z2" s="53"/>
      <c r="AA2" s="53"/>
      <c r="AB2" s="53"/>
      <c r="AC2" s="39"/>
      <c r="AD2" s="55"/>
      <c r="AE2" s="53"/>
      <c r="AF2" s="55"/>
      <c r="AG2" s="53"/>
      <c r="AH2" s="55"/>
      <c r="AI2" s="53"/>
      <c r="AJ2" s="55"/>
      <c r="AK2" s="53"/>
      <c r="AL2" s="55"/>
      <c r="AM2" s="53"/>
    </row>
    <row r="3" spans="1:42" ht="18" customHeight="1" x14ac:dyDescent="0.25">
      <c r="B3" s="54" t="s">
        <v>49</v>
      </c>
      <c r="C3" s="54"/>
      <c r="D3" s="54"/>
      <c r="E3" s="54"/>
      <c r="F3" s="54"/>
      <c r="G3" s="1"/>
      <c r="H3" s="54" t="s">
        <v>159</v>
      </c>
      <c r="I3" s="54"/>
      <c r="J3" s="54"/>
      <c r="K3" s="54"/>
      <c r="L3" s="54"/>
      <c r="M3" s="54"/>
      <c r="N3" s="54"/>
      <c r="O3" s="54"/>
      <c r="P3" s="54"/>
      <c r="Q3" s="54"/>
      <c r="R3" s="1"/>
      <c r="S3" s="54" t="s">
        <v>51</v>
      </c>
      <c r="T3" s="54"/>
      <c r="U3" s="54"/>
      <c r="V3" s="54"/>
      <c r="W3" s="54"/>
      <c r="X3" s="54"/>
      <c r="Y3" s="54"/>
      <c r="Z3" s="54"/>
      <c r="AA3" s="54"/>
      <c r="AB3" s="54"/>
      <c r="AC3" s="1"/>
      <c r="AD3" s="54" t="s">
        <v>161</v>
      </c>
      <c r="AE3" s="54"/>
      <c r="AF3" s="54"/>
      <c r="AG3" s="54"/>
      <c r="AH3" s="54"/>
      <c r="AI3" s="54"/>
      <c r="AJ3" s="54"/>
      <c r="AK3" s="54"/>
      <c r="AL3" s="54"/>
      <c r="AM3" s="54"/>
    </row>
    <row r="4" spans="1:42" ht="18" customHeight="1" x14ac:dyDescent="0.25">
      <c r="B4" s="16">
        <v>2015</v>
      </c>
      <c r="C4" s="16">
        <v>2016</v>
      </c>
      <c r="D4" s="16">
        <v>2017</v>
      </c>
      <c r="E4" s="16">
        <v>2018</v>
      </c>
      <c r="F4" s="16">
        <v>2019</v>
      </c>
      <c r="G4" s="1"/>
      <c r="H4" s="16">
        <v>2015</v>
      </c>
      <c r="I4" s="16">
        <v>2015</v>
      </c>
      <c r="J4" s="16">
        <v>2016</v>
      </c>
      <c r="K4" s="16">
        <v>2016</v>
      </c>
      <c r="L4" s="16">
        <v>2017</v>
      </c>
      <c r="M4" s="16">
        <v>2017</v>
      </c>
      <c r="N4" s="16">
        <v>2018</v>
      </c>
      <c r="O4" s="16">
        <v>2018</v>
      </c>
      <c r="P4" s="16">
        <v>2019</v>
      </c>
      <c r="Q4" s="16">
        <v>2019</v>
      </c>
      <c r="R4" s="1"/>
      <c r="S4" s="16">
        <v>2015</v>
      </c>
      <c r="T4" s="16">
        <v>2015</v>
      </c>
      <c r="U4" s="16">
        <v>2016</v>
      </c>
      <c r="V4" s="16">
        <v>2016</v>
      </c>
      <c r="W4" s="16">
        <v>2017</v>
      </c>
      <c r="X4" s="16">
        <v>2017</v>
      </c>
      <c r="Y4" s="16">
        <v>2018</v>
      </c>
      <c r="Z4" s="16">
        <v>2018</v>
      </c>
      <c r="AA4" s="16">
        <v>2019</v>
      </c>
      <c r="AB4" s="16">
        <v>2019</v>
      </c>
      <c r="AC4" s="1"/>
      <c r="AD4" s="16">
        <v>2015</v>
      </c>
      <c r="AE4" s="16">
        <v>2015</v>
      </c>
      <c r="AF4" s="16">
        <v>2016</v>
      </c>
      <c r="AG4" s="16">
        <v>2016</v>
      </c>
      <c r="AH4" s="16">
        <v>2017</v>
      </c>
      <c r="AI4" s="16">
        <v>2017</v>
      </c>
      <c r="AJ4" s="16">
        <v>2018</v>
      </c>
      <c r="AK4" s="16">
        <v>2018</v>
      </c>
      <c r="AL4" s="16">
        <v>2019</v>
      </c>
      <c r="AM4" s="16">
        <v>2019</v>
      </c>
    </row>
    <row r="5" spans="1:42" ht="30" customHeight="1" x14ac:dyDescent="0.25">
      <c r="A5" s="41" t="s">
        <v>45</v>
      </c>
      <c r="B5" s="42" t="s">
        <v>50</v>
      </c>
      <c r="C5" s="42" t="s">
        <v>50</v>
      </c>
      <c r="D5" s="42" t="s">
        <v>50</v>
      </c>
      <c r="E5" s="42" t="s">
        <v>50</v>
      </c>
      <c r="F5" s="42" t="s">
        <v>50</v>
      </c>
      <c r="G5" s="130"/>
      <c r="H5" s="42" t="s">
        <v>50</v>
      </c>
      <c r="I5" s="42" t="s">
        <v>160</v>
      </c>
      <c r="J5" s="42" t="s">
        <v>50</v>
      </c>
      <c r="K5" s="42" t="s">
        <v>160</v>
      </c>
      <c r="L5" s="42" t="s">
        <v>50</v>
      </c>
      <c r="M5" s="42" t="s">
        <v>160</v>
      </c>
      <c r="N5" s="42" t="s">
        <v>50</v>
      </c>
      <c r="O5" s="42" t="s">
        <v>160</v>
      </c>
      <c r="P5" s="42" t="s">
        <v>50</v>
      </c>
      <c r="Q5" s="42" t="s">
        <v>160</v>
      </c>
      <c r="R5" s="130"/>
      <c r="S5" s="42" t="s">
        <v>50</v>
      </c>
      <c r="T5" s="42" t="s">
        <v>160</v>
      </c>
      <c r="U5" s="42" t="s">
        <v>50</v>
      </c>
      <c r="V5" s="42" t="s">
        <v>160</v>
      </c>
      <c r="W5" s="42" t="s">
        <v>50</v>
      </c>
      <c r="X5" s="42" t="s">
        <v>160</v>
      </c>
      <c r="Y5" s="42" t="s">
        <v>50</v>
      </c>
      <c r="Z5" s="42" t="s">
        <v>160</v>
      </c>
      <c r="AA5" s="42" t="s">
        <v>50</v>
      </c>
      <c r="AB5" s="42" t="s">
        <v>160</v>
      </c>
      <c r="AC5" s="130"/>
      <c r="AD5" s="42" t="s">
        <v>48</v>
      </c>
      <c r="AE5" s="42" t="s">
        <v>50</v>
      </c>
      <c r="AF5" s="42" t="s">
        <v>48</v>
      </c>
      <c r="AG5" s="42" t="s">
        <v>50</v>
      </c>
      <c r="AH5" s="42" t="s">
        <v>48</v>
      </c>
      <c r="AI5" s="42" t="s">
        <v>50</v>
      </c>
      <c r="AJ5" s="42" t="s">
        <v>48</v>
      </c>
      <c r="AK5" s="42" t="s">
        <v>50</v>
      </c>
      <c r="AL5" s="42" t="s">
        <v>48</v>
      </c>
      <c r="AM5" s="42" t="s">
        <v>50</v>
      </c>
      <c r="AP5" s="42" t="s">
        <v>50</v>
      </c>
    </row>
    <row r="6" spans="1:42" x14ac:dyDescent="0.25">
      <c r="A6" s="17" t="s">
        <v>0</v>
      </c>
      <c r="B6" s="18">
        <v>2806042</v>
      </c>
      <c r="C6" s="18">
        <v>3466494</v>
      </c>
      <c r="D6" s="18">
        <v>3910143</v>
      </c>
      <c r="E6" s="18">
        <v>5427952</v>
      </c>
      <c r="F6" s="135">
        <v>5808806.6300000018</v>
      </c>
      <c r="G6" s="1"/>
      <c r="H6" s="18">
        <v>269766</v>
      </c>
      <c r="I6" s="27">
        <v>9.6137548903402009E-2</v>
      </c>
      <c r="J6" s="18">
        <v>316605</v>
      </c>
      <c r="K6" s="27">
        <v>9.1332914466316681E-2</v>
      </c>
      <c r="L6" s="18">
        <v>90540</v>
      </c>
      <c r="M6" s="27">
        <v>2.3155163378935247E-2</v>
      </c>
      <c r="N6" s="18">
        <v>99546</v>
      </c>
      <c r="O6" s="27">
        <v>1.8339513687667099E-2</v>
      </c>
      <c r="P6" s="135">
        <v>140006</v>
      </c>
      <c r="Q6" s="136">
        <f>P6/F6</f>
        <v>2.4102368854375163E-2</v>
      </c>
      <c r="R6" s="1"/>
      <c r="S6" s="18">
        <v>88185</v>
      </c>
      <c r="T6" s="27">
        <v>3.1426828251323397E-2</v>
      </c>
      <c r="U6" s="18">
        <v>202215</v>
      </c>
      <c r="V6" s="27">
        <v>5.8334155489667659E-2</v>
      </c>
      <c r="W6" s="18">
        <v>166272</v>
      </c>
      <c r="X6" s="27">
        <v>4.2523252985888237E-2</v>
      </c>
      <c r="Y6" s="18">
        <v>307597</v>
      </c>
      <c r="Z6" s="27">
        <v>5.6669071502474598E-2</v>
      </c>
      <c r="AA6" s="135">
        <v>250159</v>
      </c>
      <c r="AB6" s="136">
        <f>AA6/F6</f>
        <v>4.3065472124349219E-2</v>
      </c>
      <c r="AC6" s="1"/>
      <c r="AD6" s="46"/>
      <c r="AE6" s="18"/>
      <c r="AF6" s="46"/>
      <c r="AG6" s="18"/>
      <c r="AH6" s="46"/>
      <c r="AI6" s="18">
        <v>0</v>
      </c>
      <c r="AJ6" s="46"/>
      <c r="AK6" s="18"/>
      <c r="AL6" s="133"/>
      <c r="AM6" s="135">
        <v>0</v>
      </c>
      <c r="AN6" s="214" t="str">
        <f>IF(AO6=A6,"OK","No")</f>
        <v>No</v>
      </c>
      <c r="AO6" t="s">
        <v>390</v>
      </c>
      <c r="AP6">
        <v>0</v>
      </c>
    </row>
    <row r="7" spans="1:42" x14ac:dyDescent="0.25">
      <c r="A7" s="17" t="s">
        <v>26</v>
      </c>
      <c r="B7" s="18">
        <v>20753454</v>
      </c>
      <c r="C7" s="18">
        <v>23146498</v>
      </c>
      <c r="D7" s="18">
        <v>24799202</v>
      </c>
      <c r="E7" s="18">
        <v>26549348</v>
      </c>
      <c r="F7" s="135">
        <v>27095392.410000373</v>
      </c>
      <c r="G7" s="1"/>
      <c r="H7" s="18">
        <v>1609224</v>
      </c>
      <c r="I7" s="27">
        <v>7.7540056705741614E-2</v>
      </c>
      <c r="J7" s="18">
        <v>2919762</v>
      </c>
      <c r="K7" s="27">
        <v>0.12614271065972918</v>
      </c>
      <c r="L7" s="18">
        <v>3363081</v>
      </c>
      <c r="M7" s="27">
        <v>0.13561246849797828</v>
      </c>
      <c r="N7" s="18">
        <v>1809314</v>
      </c>
      <c r="O7" s="27">
        <v>6.8149093529528484E-2</v>
      </c>
      <c r="P7" s="135">
        <v>2029100</v>
      </c>
      <c r="Q7" s="136">
        <f t="shared" ref="Q7:Q51" si="0">P7/F7</f>
        <v>7.4887271211879533E-2</v>
      </c>
      <c r="R7" s="1"/>
      <c r="S7" s="18">
        <v>154873.70000000001</v>
      </c>
      <c r="T7" s="27">
        <v>7.4625505711001169E-3</v>
      </c>
      <c r="U7" s="18">
        <v>249622</v>
      </c>
      <c r="V7" s="27">
        <v>1.0784439183845435E-2</v>
      </c>
      <c r="W7" s="18">
        <v>216926</v>
      </c>
      <c r="X7" s="27">
        <v>8.7472975944951781E-3</v>
      </c>
      <c r="Y7" s="18">
        <v>211453</v>
      </c>
      <c r="Z7" s="27">
        <v>7.9645270384794391E-3</v>
      </c>
      <c r="AA7" s="135">
        <v>656587</v>
      </c>
      <c r="AB7" s="136">
        <f t="shared" ref="AB7:AB51" si="1">AA7/F7</f>
        <v>2.4232422622440662E-2</v>
      </c>
      <c r="AC7" s="1"/>
      <c r="AD7" s="46">
        <v>6</v>
      </c>
      <c r="AE7" s="18">
        <v>73314</v>
      </c>
      <c r="AF7" s="46">
        <v>4</v>
      </c>
      <c r="AG7" s="18">
        <v>37910</v>
      </c>
      <c r="AH7" s="46">
        <v>5</v>
      </c>
      <c r="AI7" s="18">
        <v>45956</v>
      </c>
      <c r="AJ7" s="46">
        <v>2</v>
      </c>
      <c r="AK7" s="18">
        <v>18458</v>
      </c>
      <c r="AL7" s="133">
        <v>2</v>
      </c>
      <c r="AM7" s="135">
        <v>5446</v>
      </c>
      <c r="AN7" s="214" t="str">
        <f t="shared" ref="AN7:AN51" si="2">IF(AO7=A7,"OK","No")</f>
        <v>OK</v>
      </c>
      <c r="AO7" t="s">
        <v>26</v>
      </c>
      <c r="AP7">
        <v>5446</v>
      </c>
    </row>
    <row r="8" spans="1:42" x14ac:dyDescent="0.25">
      <c r="A8" s="17" t="s">
        <v>1</v>
      </c>
      <c r="B8" s="18">
        <v>25036392</v>
      </c>
      <c r="C8" s="18">
        <v>28030914</v>
      </c>
      <c r="D8" s="18">
        <v>26169547</v>
      </c>
      <c r="E8" s="18">
        <v>28968171</v>
      </c>
      <c r="F8" s="135">
        <v>28100797.18000124</v>
      </c>
      <c r="G8" s="1"/>
      <c r="H8" s="18">
        <v>3799640</v>
      </c>
      <c r="I8" s="27">
        <v>0.15176467919179409</v>
      </c>
      <c r="J8" s="18">
        <v>3840171</v>
      </c>
      <c r="K8" s="27">
        <v>0.13699770902939518</v>
      </c>
      <c r="L8" s="18">
        <v>3401279</v>
      </c>
      <c r="M8" s="27">
        <v>0.12997087798271786</v>
      </c>
      <c r="N8" s="18">
        <v>3604926</v>
      </c>
      <c r="O8" s="27">
        <v>0.12444437724425197</v>
      </c>
      <c r="P8" s="135">
        <v>4072405</v>
      </c>
      <c r="Q8" s="136">
        <f t="shared" si="0"/>
        <v>0.14492133350929443</v>
      </c>
      <c r="R8" s="1"/>
      <c r="S8" s="18">
        <v>3671233.15</v>
      </c>
      <c r="T8" s="27">
        <v>0.14663587109516418</v>
      </c>
      <c r="U8" s="18">
        <v>4902303</v>
      </c>
      <c r="V8" s="27">
        <v>0.1748891598754147</v>
      </c>
      <c r="W8" s="18">
        <v>4361292</v>
      </c>
      <c r="X8" s="27">
        <v>0.16665523480402622</v>
      </c>
      <c r="Y8" s="18">
        <v>5836361</v>
      </c>
      <c r="Z8" s="27">
        <v>0.20147495677238303</v>
      </c>
      <c r="AA8" s="135">
        <v>5941856</v>
      </c>
      <c r="AB8" s="136">
        <f t="shared" si="1"/>
        <v>0.21144795152746401</v>
      </c>
      <c r="AC8" s="1"/>
      <c r="AD8" s="46">
        <v>66</v>
      </c>
      <c r="AE8" s="18">
        <v>301513</v>
      </c>
      <c r="AF8" s="46">
        <v>82</v>
      </c>
      <c r="AG8" s="18">
        <v>316333</v>
      </c>
      <c r="AH8" s="46">
        <v>79</v>
      </c>
      <c r="AI8" s="18">
        <v>306655</v>
      </c>
      <c r="AJ8" s="46">
        <v>51</v>
      </c>
      <c r="AK8" s="18">
        <v>340084</v>
      </c>
      <c r="AL8" s="133">
        <v>63</v>
      </c>
      <c r="AM8" s="135">
        <v>435804</v>
      </c>
      <c r="AN8" s="214" t="str">
        <f t="shared" si="2"/>
        <v>OK</v>
      </c>
      <c r="AO8" t="s">
        <v>1</v>
      </c>
      <c r="AP8">
        <v>435804</v>
      </c>
    </row>
    <row r="9" spans="1:42" x14ac:dyDescent="0.25">
      <c r="A9" s="17" t="s">
        <v>2</v>
      </c>
      <c r="B9" s="18">
        <v>42784178</v>
      </c>
      <c r="C9" s="18">
        <v>44973292</v>
      </c>
      <c r="D9" s="18">
        <v>46112742</v>
      </c>
      <c r="E9" s="18">
        <v>45324785</v>
      </c>
      <c r="F9" s="135">
        <v>48545717.429999642</v>
      </c>
      <c r="G9" s="1"/>
      <c r="H9" s="18">
        <v>5360613</v>
      </c>
      <c r="I9" s="27">
        <v>0.12529428519112837</v>
      </c>
      <c r="J9" s="18">
        <v>5738015</v>
      </c>
      <c r="K9" s="27">
        <v>0.12758716884679022</v>
      </c>
      <c r="L9" s="18">
        <v>4655443</v>
      </c>
      <c r="M9" s="27">
        <v>0.10095784371269875</v>
      </c>
      <c r="N9" s="18">
        <v>4354103</v>
      </c>
      <c r="O9" s="27">
        <v>9.6064504222138067E-2</v>
      </c>
      <c r="P9" s="135">
        <v>5270421</v>
      </c>
      <c r="Q9" s="136">
        <f t="shared" si="0"/>
        <v>0.10856613680907422</v>
      </c>
      <c r="R9" s="1"/>
      <c r="S9" s="18">
        <v>14950886</v>
      </c>
      <c r="T9" s="27">
        <v>0.34944894816022876</v>
      </c>
      <c r="U9" s="18">
        <v>15005345</v>
      </c>
      <c r="V9" s="27">
        <v>0.33365013617415423</v>
      </c>
      <c r="W9" s="18">
        <v>15137318</v>
      </c>
      <c r="X9" s="27">
        <v>0.32826757515308891</v>
      </c>
      <c r="Y9" s="18">
        <v>16782471</v>
      </c>
      <c r="Z9" s="27">
        <v>0.37027138683614275</v>
      </c>
      <c r="AA9" s="135">
        <v>16042334</v>
      </c>
      <c r="AB9" s="136">
        <f t="shared" si="1"/>
        <v>0.33045827416459955</v>
      </c>
      <c r="AC9" s="1"/>
      <c r="AD9" s="46">
        <v>233</v>
      </c>
      <c r="AE9" s="18">
        <v>1149198</v>
      </c>
      <c r="AF9" s="46">
        <v>269</v>
      </c>
      <c r="AG9" s="18">
        <v>1492488</v>
      </c>
      <c r="AH9" s="46">
        <v>217</v>
      </c>
      <c r="AI9" s="18">
        <v>1023043</v>
      </c>
      <c r="AJ9" s="46">
        <v>221</v>
      </c>
      <c r="AK9" s="18">
        <v>967748</v>
      </c>
      <c r="AL9" s="133">
        <v>225</v>
      </c>
      <c r="AM9" s="135">
        <v>1052176</v>
      </c>
      <c r="AN9" s="214" t="str">
        <f t="shared" si="2"/>
        <v>OK</v>
      </c>
      <c r="AO9" t="s">
        <v>2</v>
      </c>
      <c r="AP9">
        <v>1052176</v>
      </c>
    </row>
    <row r="10" spans="1:42" x14ac:dyDescent="0.25">
      <c r="A10" s="17" t="s">
        <v>3</v>
      </c>
      <c r="B10" s="18">
        <v>4790828</v>
      </c>
      <c r="C10" s="18">
        <v>3758875</v>
      </c>
      <c r="D10" s="18">
        <v>3329004</v>
      </c>
      <c r="E10" s="18">
        <v>3919475</v>
      </c>
      <c r="F10" s="135">
        <v>5175603.0100000128</v>
      </c>
      <c r="G10" s="1"/>
      <c r="H10" s="18">
        <v>231379</v>
      </c>
      <c r="I10" s="27">
        <v>4.8296244407021086E-2</v>
      </c>
      <c r="J10" s="18">
        <v>173718</v>
      </c>
      <c r="K10" s="27">
        <v>4.6215423497722057E-2</v>
      </c>
      <c r="L10" s="18">
        <v>345975</v>
      </c>
      <c r="M10" s="27">
        <v>0.10392748101233883</v>
      </c>
      <c r="N10" s="18">
        <v>552865</v>
      </c>
      <c r="O10" s="27">
        <v>0.14105588120858023</v>
      </c>
      <c r="P10" s="135">
        <v>286728</v>
      </c>
      <c r="Q10" s="136">
        <f t="shared" si="0"/>
        <v>5.5399921409350773E-2</v>
      </c>
      <c r="R10" s="1"/>
      <c r="S10" s="18">
        <v>1783540.96</v>
      </c>
      <c r="T10" s="27">
        <v>0.37228240295831949</v>
      </c>
      <c r="U10" s="18">
        <v>1558453</v>
      </c>
      <c r="V10" s="27">
        <v>0.41460623191779455</v>
      </c>
      <c r="W10" s="18">
        <v>1108517</v>
      </c>
      <c r="X10" s="27">
        <v>0.33298758427445568</v>
      </c>
      <c r="Y10" s="18">
        <v>1074456</v>
      </c>
      <c r="Z10" s="27">
        <v>0.27413263255920756</v>
      </c>
      <c r="AA10" s="135">
        <v>1562671</v>
      </c>
      <c r="AB10" s="136">
        <f t="shared" si="1"/>
        <v>0.3019302286092449</v>
      </c>
      <c r="AC10" s="1"/>
      <c r="AD10" s="46">
        <v>13</v>
      </c>
      <c r="AE10" s="18">
        <v>104387</v>
      </c>
      <c r="AF10" s="46">
        <v>13</v>
      </c>
      <c r="AG10" s="18">
        <v>108735</v>
      </c>
      <c r="AH10" s="46">
        <v>13</v>
      </c>
      <c r="AI10" s="18">
        <v>160986</v>
      </c>
      <c r="AJ10" s="46">
        <v>19</v>
      </c>
      <c r="AK10" s="18">
        <v>102034</v>
      </c>
      <c r="AL10" s="133">
        <v>19</v>
      </c>
      <c r="AM10" s="135">
        <v>97747</v>
      </c>
      <c r="AN10" s="214" t="str">
        <f t="shared" si="2"/>
        <v>OK</v>
      </c>
      <c r="AO10" t="s">
        <v>3</v>
      </c>
      <c r="AP10">
        <v>97747</v>
      </c>
    </row>
    <row r="11" spans="1:42" x14ac:dyDescent="0.25">
      <c r="A11" s="17" t="s">
        <v>33</v>
      </c>
      <c r="B11" s="18"/>
      <c r="C11" s="18"/>
      <c r="D11" s="18"/>
      <c r="E11" s="18"/>
      <c r="F11" s="135"/>
      <c r="G11" s="1"/>
      <c r="H11" s="18"/>
      <c r="I11" s="27"/>
      <c r="J11" s="18"/>
      <c r="K11" s="27"/>
      <c r="L11" s="18"/>
      <c r="M11" s="27"/>
      <c r="N11" s="18"/>
      <c r="O11" s="27"/>
      <c r="P11" s="135"/>
      <c r="Q11" s="136"/>
      <c r="R11" s="1"/>
      <c r="S11" s="18"/>
      <c r="T11" s="27"/>
      <c r="U11" s="18"/>
      <c r="V11" s="27"/>
      <c r="W11" s="18"/>
      <c r="X11" s="27"/>
      <c r="Y11" s="18"/>
      <c r="Z11" s="27"/>
      <c r="AA11" s="135"/>
      <c r="AB11" s="136"/>
      <c r="AC11" s="1"/>
      <c r="AD11" s="46"/>
      <c r="AE11" s="18"/>
      <c r="AF11" s="46"/>
      <c r="AG11" s="18"/>
      <c r="AH11" s="46"/>
      <c r="AI11" s="18"/>
      <c r="AJ11" s="46"/>
      <c r="AK11" s="18"/>
      <c r="AL11" s="133"/>
      <c r="AM11" s="135"/>
      <c r="AN11" s="214" t="str">
        <f t="shared" si="2"/>
        <v>OK</v>
      </c>
      <c r="AO11" t="s">
        <v>33</v>
      </c>
    </row>
    <row r="12" spans="1:42" x14ac:dyDescent="0.25">
      <c r="A12" s="17" t="s">
        <v>23</v>
      </c>
      <c r="B12" s="18">
        <v>209537.5</v>
      </c>
      <c r="C12" s="18">
        <v>212400</v>
      </c>
      <c r="D12" s="18">
        <v>156884</v>
      </c>
      <c r="E12" s="18">
        <v>213059</v>
      </c>
      <c r="F12" s="135">
        <v>213961.26</v>
      </c>
      <c r="G12" s="1"/>
      <c r="H12" s="18">
        <v>440925</v>
      </c>
      <c r="I12" s="27">
        <v>2.1042772773369922</v>
      </c>
      <c r="J12" s="18">
        <v>399950</v>
      </c>
      <c r="K12" s="27">
        <v>1.8830037664783428</v>
      </c>
      <c r="L12" s="18">
        <v>161552</v>
      </c>
      <c r="M12" s="27">
        <v>1.0297544682695494</v>
      </c>
      <c r="N12" s="18">
        <v>147924</v>
      </c>
      <c r="O12" s="27">
        <v>0.69428655912212112</v>
      </c>
      <c r="P12" s="135">
        <v>42678</v>
      </c>
      <c r="Q12" s="136">
        <f t="shared" si="0"/>
        <v>0.19946601548336365</v>
      </c>
      <c r="R12" s="1"/>
      <c r="S12" s="18">
        <v>43250</v>
      </c>
      <c r="T12" s="27">
        <v>0.2064069677265406</v>
      </c>
      <c r="U12" s="18">
        <v>1500</v>
      </c>
      <c r="V12" s="27">
        <v>7.0621468926553672E-3</v>
      </c>
      <c r="W12" s="18">
        <v>2750</v>
      </c>
      <c r="X12" s="27">
        <v>1.7528874837459525E-2</v>
      </c>
      <c r="Y12" s="18">
        <v>1500</v>
      </c>
      <c r="Z12" s="27">
        <v>7.0403033901407595E-3</v>
      </c>
      <c r="AA12" s="135">
        <v>4500</v>
      </c>
      <c r="AB12" s="136">
        <f t="shared" si="1"/>
        <v>2.1031844736752812E-2</v>
      </c>
      <c r="AC12" s="1"/>
      <c r="AD12" s="46">
        <v>35</v>
      </c>
      <c r="AE12" s="18">
        <v>137975</v>
      </c>
      <c r="AF12" s="46">
        <v>36</v>
      </c>
      <c r="AG12" s="18">
        <v>140500</v>
      </c>
      <c r="AH12" s="46">
        <v>37</v>
      </c>
      <c r="AI12" s="18">
        <v>90764</v>
      </c>
      <c r="AJ12" s="46">
        <v>57</v>
      </c>
      <c r="AK12" s="18">
        <v>142559</v>
      </c>
      <c r="AL12" s="133">
        <v>61</v>
      </c>
      <c r="AM12" s="135">
        <v>152640</v>
      </c>
      <c r="AN12" s="214" t="str">
        <f t="shared" si="2"/>
        <v>No</v>
      </c>
      <c r="AO12" t="s">
        <v>392</v>
      </c>
      <c r="AP12">
        <v>152640</v>
      </c>
    </row>
    <row r="13" spans="1:42" x14ac:dyDescent="0.25">
      <c r="A13" s="17" t="s">
        <v>4</v>
      </c>
      <c r="B13" s="18">
        <v>2648324.38</v>
      </c>
      <c r="C13" s="18">
        <v>2091802</v>
      </c>
      <c r="D13" s="18">
        <v>2015847</v>
      </c>
      <c r="E13" s="18">
        <v>2116944</v>
      </c>
      <c r="F13" s="135">
        <v>2048074.9800000004</v>
      </c>
      <c r="G13" s="1"/>
      <c r="H13" s="18">
        <v>344103</v>
      </c>
      <c r="I13" s="27">
        <v>0.12993234612747853</v>
      </c>
      <c r="J13" s="18">
        <v>282873</v>
      </c>
      <c r="K13" s="27">
        <v>0.13522933814959542</v>
      </c>
      <c r="L13" s="18">
        <v>254604</v>
      </c>
      <c r="M13" s="27">
        <v>0.1263012520295439</v>
      </c>
      <c r="N13" s="18">
        <v>369501</v>
      </c>
      <c r="O13" s="27">
        <v>0.1745445321179965</v>
      </c>
      <c r="P13" s="135">
        <v>390896</v>
      </c>
      <c r="Q13" s="136">
        <f t="shared" si="0"/>
        <v>0.19086019985459707</v>
      </c>
      <c r="R13" s="1"/>
      <c r="S13" s="18">
        <v>908705.22</v>
      </c>
      <c r="T13" s="27">
        <v>0.34312459110465915</v>
      </c>
      <c r="U13" s="18">
        <v>667575</v>
      </c>
      <c r="V13" s="27">
        <v>0.31913871389357118</v>
      </c>
      <c r="W13" s="18">
        <v>488808</v>
      </c>
      <c r="X13" s="27">
        <v>0.24248268841831747</v>
      </c>
      <c r="Y13" s="18">
        <v>516844</v>
      </c>
      <c r="Z13" s="27">
        <v>0.24414627878677944</v>
      </c>
      <c r="AA13" s="135">
        <v>545746</v>
      </c>
      <c r="AB13" s="136">
        <f t="shared" si="1"/>
        <v>0.26646778332304993</v>
      </c>
      <c r="AC13" s="1"/>
      <c r="AD13" s="46">
        <v>59</v>
      </c>
      <c r="AE13" s="18">
        <v>1205595</v>
      </c>
      <c r="AF13" s="46">
        <v>54</v>
      </c>
      <c r="AG13" s="18">
        <v>1165672</v>
      </c>
      <c r="AH13" s="46">
        <v>42</v>
      </c>
      <c r="AI13" s="18">
        <v>1261678</v>
      </c>
      <c r="AJ13" s="46">
        <v>67</v>
      </c>
      <c r="AK13" s="18">
        <v>1389143</v>
      </c>
      <c r="AL13" s="133">
        <v>35</v>
      </c>
      <c r="AM13" s="135">
        <v>1261634</v>
      </c>
      <c r="AN13" s="214" t="str">
        <f t="shared" si="2"/>
        <v>OK</v>
      </c>
      <c r="AO13" t="s">
        <v>4</v>
      </c>
      <c r="AP13">
        <v>1261634</v>
      </c>
    </row>
    <row r="14" spans="1:42" x14ac:dyDescent="0.25">
      <c r="A14" s="17" t="s">
        <v>28</v>
      </c>
      <c r="B14" s="18"/>
      <c r="C14" s="18"/>
      <c r="D14" s="18"/>
      <c r="E14" s="18"/>
      <c r="F14" s="135"/>
      <c r="G14" s="1"/>
      <c r="H14" s="18"/>
      <c r="I14" s="27"/>
      <c r="J14" s="18"/>
      <c r="K14" s="27"/>
      <c r="L14" s="18"/>
      <c r="M14" s="27"/>
      <c r="N14" s="18"/>
      <c r="O14" s="27"/>
      <c r="P14" s="135"/>
      <c r="Q14" s="136"/>
      <c r="R14" s="1"/>
      <c r="S14" s="18"/>
      <c r="T14" s="27"/>
      <c r="U14" s="18"/>
      <c r="V14" s="27"/>
      <c r="W14" s="18"/>
      <c r="X14" s="27"/>
      <c r="Y14" s="18"/>
      <c r="Z14" s="27"/>
      <c r="AA14" s="135"/>
      <c r="AB14" s="136"/>
      <c r="AC14" s="1"/>
      <c r="AD14" s="46"/>
      <c r="AE14" s="18"/>
      <c r="AF14" s="46"/>
      <c r="AG14" s="18"/>
      <c r="AH14" s="46"/>
      <c r="AI14" s="18"/>
      <c r="AJ14" s="46"/>
      <c r="AK14" s="18"/>
      <c r="AL14" s="133"/>
      <c r="AM14" s="135"/>
      <c r="AN14" s="214" t="str">
        <f t="shared" si="2"/>
        <v>OK</v>
      </c>
      <c r="AO14" t="s">
        <v>28</v>
      </c>
    </row>
    <row r="15" spans="1:42" x14ac:dyDescent="0.25">
      <c r="A15" s="17" t="s">
        <v>29</v>
      </c>
      <c r="B15" s="18"/>
      <c r="C15" s="18"/>
      <c r="D15" s="18"/>
      <c r="E15" s="18"/>
      <c r="F15" s="135"/>
      <c r="G15" s="1"/>
      <c r="H15" s="18"/>
      <c r="I15" s="27"/>
      <c r="J15" s="18"/>
      <c r="K15" s="27"/>
      <c r="L15" s="18"/>
      <c r="M15" s="27"/>
      <c r="N15" s="18"/>
      <c r="O15" s="27"/>
      <c r="P15" s="135"/>
      <c r="Q15" s="136"/>
      <c r="R15" s="1"/>
      <c r="S15" s="18"/>
      <c r="T15" s="27"/>
      <c r="U15" s="18"/>
      <c r="V15" s="27"/>
      <c r="W15" s="18"/>
      <c r="X15" s="27"/>
      <c r="Y15" s="18"/>
      <c r="Z15" s="27"/>
      <c r="AA15" s="135"/>
      <c r="AB15" s="136"/>
      <c r="AC15" s="1"/>
      <c r="AD15" s="46"/>
      <c r="AE15" s="18"/>
      <c r="AF15" s="46"/>
      <c r="AG15" s="18"/>
      <c r="AH15" s="46"/>
      <c r="AI15" s="18"/>
      <c r="AJ15" s="46"/>
      <c r="AK15" s="18"/>
      <c r="AL15" s="133"/>
      <c r="AM15" s="135"/>
      <c r="AN15" s="214" t="str">
        <f t="shared" si="2"/>
        <v>OK</v>
      </c>
      <c r="AO15" t="s">
        <v>29</v>
      </c>
    </row>
    <row r="16" spans="1:42" x14ac:dyDescent="0.25">
      <c r="A16" s="17" t="s">
        <v>5</v>
      </c>
      <c r="B16" s="18">
        <v>3141460</v>
      </c>
      <c r="C16" s="18">
        <v>3665706</v>
      </c>
      <c r="D16" s="18">
        <v>2687243</v>
      </c>
      <c r="E16" s="18">
        <v>3404683</v>
      </c>
      <c r="F16" s="135">
        <v>3039217.8099999973</v>
      </c>
      <c r="G16" s="1"/>
      <c r="H16" s="18">
        <v>147564</v>
      </c>
      <c r="I16" s="27">
        <v>4.6973063480037942E-2</v>
      </c>
      <c r="J16" s="18">
        <v>514115</v>
      </c>
      <c r="K16" s="27">
        <v>0.14024992729913419</v>
      </c>
      <c r="L16" s="18">
        <v>93546</v>
      </c>
      <c r="M16" s="27">
        <v>3.4811142870220517E-2</v>
      </c>
      <c r="N16" s="18">
        <v>536315</v>
      </c>
      <c r="O16" s="27">
        <v>0.15752274147108555</v>
      </c>
      <c r="P16" s="135">
        <v>179503</v>
      </c>
      <c r="Q16" s="136">
        <f t="shared" si="0"/>
        <v>5.9062236148188459E-2</v>
      </c>
      <c r="R16" s="1"/>
      <c r="S16" s="18">
        <v>178444.76</v>
      </c>
      <c r="T16" s="27">
        <v>5.6803129754954704E-2</v>
      </c>
      <c r="U16" s="18">
        <v>197062</v>
      </c>
      <c r="V16" s="27">
        <v>5.3758266484000623E-2</v>
      </c>
      <c r="W16" s="18">
        <v>279077</v>
      </c>
      <c r="X16" s="27">
        <v>0.10385253585180053</v>
      </c>
      <c r="Y16" s="18">
        <v>374786</v>
      </c>
      <c r="Z16" s="27">
        <v>0.11007955806752052</v>
      </c>
      <c r="AA16" s="135">
        <v>388861</v>
      </c>
      <c r="AB16" s="136">
        <f t="shared" si="1"/>
        <v>0.12794772349665862</v>
      </c>
      <c r="AC16" s="1"/>
      <c r="AD16" s="46">
        <v>20</v>
      </c>
      <c r="AE16" s="18">
        <v>19984</v>
      </c>
      <c r="AF16" s="46">
        <v>18</v>
      </c>
      <c r="AG16" s="18">
        <v>18129</v>
      </c>
      <c r="AH16" s="46">
        <v>18</v>
      </c>
      <c r="AI16" s="18">
        <v>18161</v>
      </c>
      <c r="AJ16" s="46">
        <v>20</v>
      </c>
      <c r="AK16" s="18">
        <v>20468</v>
      </c>
      <c r="AL16" s="133">
        <v>24</v>
      </c>
      <c r="AM16" s="135">
        <v>36000</v>
      </c>
      <c r="AN16" s="214" t="str">
        <f t="shared" si="2"/>
        <v>OK</v>
      </c>
      <c r="AO16" t="s">
        <v>5</v>
      </c>
      <c r="AP16">
        <v>36000</v>
      </c>
    </row>
    <row r="17" spans="1:42" x14ac:dyDescent="0.25">
      <c r="A17" s="17" t="s">
        <v>22</v>
      </c>
      <c r="B17" s="18"/>
      <c r="C17" s="18"/>
      <c r="D17" s="18">
        <v>877</v>
      </c>
      <c r="E17" s="18">
        <v>24170</v>
      </c>
      <c r="F17" s="135">
        <v>5270.75</v>
      </c>
      <c r="G17" s="1"/>
      <c r="H17" s="18"/>
      <c r="I17" s="27"/>
      <c r="J17" s="18"/>
      <c r="K17" s="27"/>
      <c r="L17" s="18">
        <v>376</v>
      </c>
      <c r="M17" s="27">
        <v>0.42873432155074115</v>
      </c>
      <c r="N17" s="18"/>
      <c r="O17" s="27">
        <v>0</v>
      </c>
      <c r="P17" s="135"/>
      <c r="Q17" s="136">
        <f t="shared" si="0"/>
        <v>0</v>
      </c>
      <c r="R17" s="1"/>
      <c r="S17" s="18"/>
      <c r="T17" s="27"/>
      <c r="U17" s="18"/>
      <c r="V17" s="27"/>
      <c r="W17" s="18">
        <v>877</v>
      </c>
      <c r="X17" s="27">
        <v>1</v>
      </c>
      <c r="Y17" s="18"/>
      <c r="Z17" s="27">
        <v>0</v>
      </c>
      <c r="AA17" s="135">
        <v>5271</v>
      </c>
      <c r="AB17" s="136">
        <f t="shared" si="1"/>
        <v>1.0000474315799459</v>
      </c>
      <c r="AC17" s="1"/>
      <c r="AD17" s="46"/>
      <c r="AE17" s="18"/>
      <c r="AF17" s="46"/>
      <c r="AG17" s="18"/>
      <c r="AH17" s="46">
        <v>1</v>
      </c>
      <c r="AI17" s="18">
        <v>1754</v>
      </c>
      <c r="AJ17" s="46">
        <v>2</v>
      </c>
      <c r="AK17" s="18">
        <v>24170</v>
      </c>
      <c r="AL17" s="133"/>
      <c r="AM17" s="135"/>
      <c r="AN17" s="214" t="str">
        <f t="shared" si="2"/>
        <v>OK</v>
      </c>
      <c r="AO17" t="s">
        <v>22</v>
      </c>
    </row>
    <row r="18" spans="1:42" x14ac:dyDescent="0.25">
      <c r="A18" s="17" t="s">
        <v>7</v>
      </c>
      <c r="B18" s="18">
        <v>1098589</v>
      </c>
      <c r="C18" s="18">
        <v>1112171</v>
      </c>
      <c r="D18" s="18">
        <v>991243</v>
      </c>
      <c r="E18" s="18">
        <v>1089779</v>
      </c>
      <c r="F18" s="135">
        <v>1128253.5199999982</v>
      </c>
      <c r="G18" s="1"/>
      <c r="H18" s="18">
        <v>115512</v>
      </c>
      <c r="I18" s="27">
        <v>0.10514578245367467</v>
      </c>
      <c r="J18" s="18">
        <v>446403</v>
      </c>
      <c r="K18" s="27">
        <v>0.40137982378609044</v>
      </c>
      <c r="L18" s="18">
        <v>262082</v>
      </c>
      <c r="M18" s="27">
        <v>0.26439732739600685</v>
      </c>
      <c r="N18" s="18">
        <v>183341</v>
      </c>
      <c r="O18" s="27">
        <v>0.16823686270335544</v>
      </c>
      <c r="P18" s="135">
        <v>313342</v>
      </c>
      <c r="Q18" s="136">
        <f t="shared" si="0"/>
        <v>0.27772304224674654</v>
      </c>
      <c r="R18" s="1"/>
      <c r="S18" s="18">
        <v>491277</v>
      </c>
      <c r="T18" s="27">
        <v>0.44718907616952291</v>
      </c>
      <c r="U18" s="18">
        <v>525022</v>
      </c>
      <c r="V18" s="27">
        <v>0.47206949291071248</v>
      </c>
      <c r="W18" s="18">
        <v>498246</v>
      </c>
      <c r="X18" s="27">
        <v>0.5026476857844141</v>
      </c>
      <c r="Y18" s="18">
        <v>531701</v>
      </c>
      <c r="Z18" s="27">
        <v>0.4878980050083549</v>
      </c>
      <c r="AA18" s="135">
        <v>553978</v>
      </c>
      <c r="AB18" s="136">
        <f t="shared" si="1"/>
        <v>0.49100489400644715</v>
      </c>
      <c r="AC18" s="1"/>
      <c r="AD18" s="46">
        <v>55</v>
      </c>
      <c r="AE18" s="18">
        <v>33318</v>
      </c>
      <c r="AF18" s="46">
        <v>32</v>
      </c>
      <c r="AG18" s="18">
        <v>21686</v>
      </c>
      <c r="AH18" s="46">
        <v>50</v>
      </c>
      <c r="AI18" s="18">
        <v>45831</v>
      </c>
      <c r="AJ18" s="46">
        <v>36</v>
      </c>
      <c r="AK18" s="18">
        <v>64223</v>
      </c>
      <c r="AL18" s="133">
        <v>45</v>
      </c>
      <c r="AM18" s="135">
        <v>121383</v>
      </c>
      <c r="AN18" s="214" t="str">
        <f t="shared" si="2"/>
        <v>OK</v>
      </c>
      <c r="AO18" t="s">
        <v>7</v>
      </c>
      <c r="AP18">
        <v>121383</v>
      </c>
    </row>
    <row r="19" spans="1:42" x14ac:dyDescent="0.25">
      <c r="A19" s="17" t="s">
        <v>6</v>
      </c>
      <c r="B19" s="18"/>
      <c r="C19" s="18"/>
      <c r="D19" s="18"/>
      <c r="E19" s="18"/>
      <c r="F19" s="135"/>
      <c r="G19" s="1"/>
      <c r="H19" s="18"/>
      <c r="I19" s="27"/>
      <c r="J19" s="18"/>
      <c r="K19" s="27"/>
      <c r="L19" s="18"/>
      <c r="M19" s="27"/>
      <c r="N19" s="18"/>
      <c r="O19" s="27"/>
      <c r="P19" s="135"/>
      <c r="Q19" s="136"/>
      <c r="R19" s="1"/>
      <c r="S19" s="18"/>
      <c r="T19" s="27"/>
      <c r="U19" s="18"/>
      <c r="V19" s="27"/>
      <c r="W19" s="18"/>
      <c r="X19" s="27"/>
      <c r="Y19" s="18"/>
      <c r="Z19" s="27"/>
      <c r="AA19" s="135"/>
      <c r="AB19" s="136"/>
      <c r="AC19" s="1"/>
      <c r="AD19" s="46"/>
      <c r="AE19" s="18"/>
      <c r="AF19" s="46"/>
      <c r="AG19" s="18"/>
      <c r="AH19" s="46"/>
      <c r="AI19" s="18"/>
      <c r="AJ19" s="46"/>
      <c r="AK19" s="18"/>
      <c r="AL19" s="133"/>
      <c r="AM19" s="135"/>
      <c r="AN19" s="214" t="str">
        <f t="shared" si="2"/>
        <v>No</v>
      </c>
      <c r="AO19" t="s">
        <v>387</v>
      </c>
    </row>
    <row r="20" spans="1:42" x14ac:dyDescent="0.25">
      <c r="A20" s="17" t="s">
        <v>30</v>
      </c>
      <c r="B20" s="18"/>
      <c r="C20" s="18"/>
      <c r="D20" s="18"/>
      <c r="E20" s="18"/>
      <c r="F20" s="135"/>
      <c r="G20" s="1"/>
      <c r="H20" s="18"/>
      <c r="I20" s="27"/>
      <c r="J20" s="18"/>
      <c r="K20" s="27"/>
      <c r="L20" s="18"/>
      <c r="M20" s="27"/>
      <c r="N20" s="18"/>
      <c r="O20" s="27"/>
      <c r="P20" s="135"/>
      <c r="Q20" s="136"/>
      <c r="R20" s="1"/>
      <c r="S20" s="18"/>
      <c r="T20" s="27"/>
      <c r="U20" s="18"/>
      <c r="V20" s="27"/>
      <c r="W20" s="18"/>
      <c r="X20" s="27"/>
      <c r="Y20" s="18"/>
      <c r="Z20" s="27"/>
      <c r="AA20" s="135"/>
      <c r="AB20" s="136"/>
      <c r="AC20" s="1"/>
      <c r="AD20" s="46"/>
      <c r="AE20" s="18"/>
      <c r="AF20" s="46"/>
      <c r="AG20" s="18"/>
      <c r="AH20" s="46"/>
      <c r="AI20" s="18"/>
      <c r="AJ20" s="46"/>
      <c r="AK20" s="18"/>
      <c r="AL20" s="133"/>
      <c r="AM20" s="135"/>
      <c r="AN20" s="214" t="str">
        <f t="shared" si="2"/>
        <v>OK</v>
      </c>
      <c r="AO20" t="s">
        <v>30</v>
      </c>
    </row>
    <row r="21" spans="1:42" x14ac:dyDescent="0.25">
      <c r="A21" s="17" t="s">
        <v>8</v>
      </c>
      <c r="B21" s="18">
        <v>14636514</v>
      </c>
      <c r="C21" s="18">
        <v>16917440</v>
      </c>
      <c r="D21" s="18">
        <v>19806934</v>
      </c>
      <c r="E21" s="18">
        <v>23179820</v>
      </c>
      <c r="F21" s="135">
        <v>26299469.100000013</v>
      </c>
      <c r="G21" s="1"/>
      <c r="H21" s="18">
        <v>2132160</v>
      </c>
      <c r="I21" s="27">
        <v>0.14567403139846005</v>
      </c>
      <c r="J21" s="18">
        <v>2579434</v>
      </c>
      <c r="K21" s="27">
        <v>0.15247188699945147</v>
      </c>
      <c r="L21" s="18">
        <v>3831146</v>
      </c>
      <c r="M21" s="27">
        <v>0.19342448457696684</v>
      </c>
      <c r="N21" s="18">
        <v>3059073</v>
      </c>
      <c r="O21" s="27">
        <v>0.13197138718074602</v>
      </c>
      <c r="P21" s="135">
        <v>5744055</v>
      </c>
      <c r="Q21" s="136">
        <f t="shared" si="0"/>
        <v>0.21840954196295914</v>
      </c>
      <c r="R21" s="1"/>
      <c r="S21" s="18"/>
      <c r="T21" s="27"/>
      <c r="U21" s="18"/>
      <c r="V21" s="27"/>
      <c r="W21" s="18"/>
      <c r="X21" s="27">
        <v>0</v>
      </c>
      <c r="Y21" s="18"/>
      <c r="Z21" s="27">
        <v>0</v>
      </c>
      <c r="AA21" s="135"/>
      <c r="AB21" s="136">
        <f t="shared" si="1"/>
        <v>0</v>
      </c>
      <c r="AC21" s="1"/>
      <c r="AD21" s="46">
        <v>84</v>
      </c>
      <c r="AE21" s="18">
        <v>691255</v>
      </c>
      <c r="AF21" s="46">
        <v>88</v>
      </c>
      <c r="AG21" s="18">
        <v>738426</v>
      </c>
      <c r="AH21" s="46">
        <v>72</v>
      </c>
      <c r="AI21" s="18">
        <v>554232</v>
      </c>
      <c r="AJ21" s="46">
        <v>63</v>
      </c>
      <c r="AK21" s="18">
        <v>624087</v>
      </c>
      <c r="AL21" s="133">
        <v>62</v>
      </c>
      <c r="AM21" s="135">
        <v>649757</v>
      </c>
      <c r="AN21" s="214" t="str">
        <f t="shared" si="2"/>
        <v>OK</v>
      </c>
      <c r="AO21" t="s">
        <v>8</v>
      </c>
      <c r="AP21">
        <v>649757</v>
      </c>
    </row>
    <row r="22" spans="1:42" x14ac:dyDescent="0.25">
      <c r="A22" s="17" t="s">
        <v>9</v>
      </c>
      <c r="B22" s="18">
        <v>687738</v>
      </c>
      <c r="C22" s="18">
        <v>1392073</v>
      </c>
      <c r="D22" s="18">
        <v>1396538</v>
      </c>
      <c r="E22" s="18">
        <v>1249312</v>
      </c>
      <c r="F22" s="135">
        <v>1347411.1299999973</v>
      </c>
      <c r="G22" s="1"/>
      <c r="H22" s="18">
        <v>195913</v>
      </c>
      <c r="I22" s="27">
        <v>0.28486574829368161</v>
      </c>
      <c r="J22" s="18">
        <v>56515</v>
      </c>
      <c r="K22" s="27">
        <v>4.0597727274359896E-2</v>
      </c>
      <c r="L22" s="18">
        <v>110074</v>
      </c>
      <c r="M22" s="27">
        <v>7.881919432195901E-2</v>
      </c>
      <c r="N22" s="18">
        <v>138713</v>
      </c>
      <c r="O22" s="27">
        <v>0.11103151174406393</v>
      </c>
      <c r="P22" s="135">
        <v>275050</v>
      </c>
      <c r="Q22" s="136">
        <f t="shared" si="0"/>
        <v>0.20413220128291545</v>
      </c>
      <c r="R22" s="1"/>
      <c r="S22" s="18">
        <v>338513</v>
      </c>
      <c r="T22" s="27">
        <v>0.49221215055733436</v>
      </c>
      <c r="U22" s="18">
        <v>660411</v>
      </c>
      <c r="V22" s="27">
        <v>0.47440831048371745</v>
      </c>
      <c r="W22" s="18">
        <v>583299</v>
      </c>
      <c r="X22" s="27">
        <v>0.41767499344808379</v>
      </c>
      <c r="Y22" s="18">
        <v>513526</v>
      </c>
      <c r="Z22" s="27">
        <v>0.41104704029097616</v>
      </c>
      <c r="AA22" s="135">
        <v>472487</v>
      </c>
      <c r="AB22" s="136">
        <f t="shared" si="1"/>
        <v>0.35066282998567849</v>
      </c>
      <c r="AC22" s="1"/>
      <c r="AD22" s="46">
        <v>8</v>
      </c>
      <c r="AE22" s="18">
        <v>25905</v>
      </c>
      <c r="AF22" s="46">
        <v>12</v>
      </c>
      <c r="AG22" s="18">
        <v>66053</v>
      </c>
      <c r="AH22" s="46">
        <v>22</v>
      </c>
      <c r="AI22" s="18">
        <v>64756</v>
      </c>
      <c r="AJ22" s="46">
        <v>30</v>
      </c>
      <c r="AK22" s="18">
        <v>166390</v>
      </c>
      <c r="AL22" s="133">
        <v>32</v>
      </c>
      <c r="AM22" s="135">
        <v>162489</v>
      </c>
      <c r="AN22" s="214" t="str">
        <f t="shared" si="2"/>
        <v>OK</v>
      </c>
      <c r="AO22" t="s">
        <v>9</v>
      </c>
      <c r="AP22">
        <v>162489</v>
      </c>
    </row>
    <row r="23" spans="1:42" x14ac:dyDescent="0.25">
      <c r="A23" s="17" t="s">
        <v>24</v>
      </c>
      <c r="B23" s="18">
        <v>29105522</v>
      </c>
      <c r="C23" s="18">
        <v>29958812</v>
      </c>
      <c r="D23" s="18">
        <v>30168836</v>
      </c>
      <c r="E23" s="18">
        <v>31661634</v>
      </c>
      <c r="F23" s="135">
        <v>34931731.870000653</v>
      </c>
      <c r="G23" s="1"/>
      <c r="H23" s="18">
        <v>6432285</v>
      </c>
      <c r="I23" s="27">
        <v>0.22099878504154641</v>
      </c>
      <c r="J23" s="18">
        <v>6064972</v>
      </c>
      <c r="K23" s="27">
        <v>0.20244367500286728</v>
      </c>
      <c r="L23" s="18">
        <v>5438413</v>
      </c>
      <c r="M23" s="27">
        <v>0.18026592076671435</v>
      </c>
      <c r="N23" s="18">
        <v>7052994</v>
      </c>
      <c r="O23" s="27">
        <v>0.22276152898489068</v>
      </c>
      <c r="P23" s="135">
        <v>7216839</v>
      </c>
      <c r="Q23" s="136">
        <f t="shared" si="0"/>
        <v>0.20659837384695537</v>
      </c>
      <c r="R23" s="1"/>
      <c r="S23" s="18">
        <v>6660779.3600000003</v>
      </c>
      <c r="T23" s="27">
        <v>0.22884933518801004</v>
      </c>
      <c r="U23" s="18">
        <v>6864317</v>
      </c>
      <c r="V23" s="27">
        <v>0.2291251402091645</v>
      </c>
      <c r="W23" s="18">
        <v>6225660</v>
      </c>
      <c r="X23" s="27">
        <v>0.20636062988973125</v>
      </c>
      <c r="Y23" s="18">
        <v>6338734</v>
      </c>
      <c r="Z23" s="27">
        <v>0.2002023647926699</v>
      </c>
      <c r="AA23" s="135">
        <v>7646290</v>
      </c>
      <c r="AB23" s="136">
        <f t="shared" si="1"/>
        <v>0.21889238210277884</v>
      </c>
      <c r="AC23" s="1"/>
      <c r="AD23" s="46">
        <v>111</v>
      </c>
      <c r="AE23" s="18">
        <v>555314</v>
      </c>
      <c r="AF23" s="46">
        <v>96</v>
      </c>
      <c r="AG23" s="18">
        <v>505068</v>
      </c>
      <c r="AH23" s="46">
        <v>133</v>
      </c>
      <c r="AI23" s="18">
        <v>629461</v>
      </c>
      <c r="AJ23" s="46">
        <v>142</v>
      </c>
      <c r="AK23" s="18">
        <v>989148</v>
      </c>
      <c r="AL23" s="133">
        <v>155</v>
      </c>
      <c r="AM23" s="135">
        <v>922151</v>
      </c>
      <c r="AN23" s="214" t="str">
        <f t="shared" si="2"/>
        <v>OK</v>
      </c>
      <c r="AO23" t="s">
        <v>24</v>
      </c>
      <c r="AP23">
        <v>922151</v>
      </c>
    </row>
    <row r="24" spans="1:42" x14ac:dyDescent="0.25">
      <c r="A24" s="17" t="s">
        <v>25</v>
      </c>
      <c r="B24" s="18"/>
      <c r="C24" s="18"/>
      <c r="D24" s="18"/>
      <c r="E24" s="18"/>
      <c r="F24" s="135"/>
      <c r="G24" s="1"/>
      <c r="H24" s="18"/>
      <c r="I24" s="27"/>
      <c r="J24" s="18"/>
      <c r="K24" s="27"/>
      <c r="L24" s="18"/>
      <c r="M24" s="27"/>
      <c r="N24" s="18"/>
      <c r="O24" s="27"/>
      <c r="P24" s="135"/>
      <c r="Q24" s="136"/>
      <c r="R24" s="1"/>
      <c r="S24" s="18"/>
      <c r="T24" s="27"/>
      <c r="U24" s="18"/>
      <c r="V24" s="27"/>
      <c r="W24" s="18"/>
      <c r="X24" s="27"/>
      <c r="Y24" s="18"/>
      <c r="Z24" s="27"/>
      <c r="AA24" s="135"/>
      <c r="AB24" s="136"/>
      <c r="AC24" s="1"/>
      <c r="AD24" s="46"/>
      <c r="AE24" s="18"/>
      <c r="AF24" s="46"/>
      <c r="AG24" s="18"/>
      <c r="AH24" s="46"/>
      <c r="AI24" s="18"/>
      <c r="AJ24" s="46"/>
      <c r="AK24" s="18"/>
      <c r="AL24" s="133"/>
      <c r="AM24" s="135"/>
      <c r="AN24" s="214" t="str">
        <f t="shared" si="2"/>
        <v>OK</v>
      </c>
      <c r="AO24" t="s">
        <v>25</v>
      </c>
    </row>
    <row r="25" spans="1:42" x14ac:dyDescent="0.25">
      <c r="A25" s="17" t="s">
        <v>34</v>
      </c>
      <c r="B25" s="18">
        <v>42550</v>
      </c>
      <c r="C25" s="18">
        <v>66151</v>
      </c>
      <c r="D25" s="18">
        <v>61102</v>
      </c>
      <c r="E25" s="18">
        <v>62420</v>
      </c>
      <c r="F25" s="135">
        <v>75863.5</v>
      </c>
      <c r="G25" s="1"/>
      <c r="H25" s="18">
        <v>1000</v>
      </c>
      <c r="I25" s="27">
        <v>2.3501762632197415E-2</v>
      </c>
      <c r="J25" s="18">
        <v>1468</v>
      </c>
      <c r="K25" s="27">
        <v>2.2191652431558101E-2</v>
      </c>
      <c r="L25" s="18">
        <v>2200</v>
      </c>
      <c r="M25" s="27">
        <v>3.6005368073058167E-2</v>
      </c>
      <c r="N25" s="18">
        <v>10900</v>
      </c>
      <c r="O25" s="27">
        <v>0.17462351810317206</v>
      </c>
      <c r="P25" s="135">
        <v>2500</v>
      </c>
      <c r="Q25" s="136">
        <f t="shared" si="0"/>
        <v>3.2953923823709687E-2</v>
      </c>
      <c r="R25" s="1"/>
      <c r="S25" s="18">
        <v>4100</v>
      </c>
      <c r="T25" s="27">
        <v>9.6357226792009407E-2</v>
      </c>
      <c r="U25" s="18">
        <v>4200</v>
      </c>
      <c r="V25" s="27">
        <v>6.3491103687019088E-2</v>
      </c>
      <c r="W25" s="18">
        <v>3300</v>
      </c>
      <c r="X25" s="27">
        <v>5.400805210958725E-2</v>
      </c>
      <c r="Y25" s="18">
        <v>2400</v>
      </c>
      <c r="Z25" s="27">
        <v>3.8449214995193846E-2</v>
      </c>
      <c r="AA25" s="135">
        <v>2600</v>
      </c>
      <c r="AB25" s="136">
        <f t="shared" si="1"/>
        <v>3.4272080776658075E-2</v>
      </c>
      <c r="AC25" s="1"/>
      <c r="AD25" s="46"/>
      <c r="AE25" s="18"/>
      <c r="AF25" s="46"/>
      <c r="AG25" s="18"/>
      <c r="AH25" s="46"/>
      <c r="AI25" s="18"/>
      <c r="AJ25" s="46"/>
      <c r="AK25" s="18"/>
      <c r="AL25" s="133"/>
      <c r="AM25" s="135"/>
      <c r="AN25" s="214" t="str">
        <f t="shared" si="2"/>
        <v>OK</v>
      </c>
      <c r="AO25" t="s">
        <v>34</v>
      </c>
    </row>
    <row r="26" spans="1:42" x14ac:dyDescent="0.25">
      <c r="A26" s="17" t="s">
        <v>10</v>
      </c>
      <c r="B26" s="18">
        <v>35006601</v>
      </c>
      <c r="C26" s="18">
        <v>37793195</v>
      </c>
      <c r="D26" s="18">
        <v>46061604</v>
      </c>
      <c r="E26" s="18">
        <v>48566761</v>
      </c>
      <c r="F26" s="135">
        <v>46140763.059999645</v>
      </c>
      <c r="G26" s="1"/>
      <c r="H26" s="18">
        <v>5743260</v>
      </c>
      <c r="I26" s="27">
        <v>0.1640622007260859</v>
      </c>
      <c r="J26" s="18">
        <v>3294313</v>
      </c>
      <c r="K26" s="27">
        <v>8.7166829901520637E-2</v>
      </c>
      <c r="L26" s="18">
        <v>3262601</v>
      </c>
      <c r="M26" s="27">
        <v>7.08312502534649E-2</v>
      </c>
      <c r="N26" s="18">
        <v>3562292</v>
      </c>
      <c r="O26" s="27">
        <v>7.3348354443484504E-2</v>
      </c>
      <c r="P26" s="135">
        <v>3440422</v>
      </c>
      <c r="Q26" s="136">
        <f t="shared" si="0"/>
        <v>7.4563612992836939E-2</v>
      </c>
      <c r="R26" s="1"/>
      <c r="S26" s="18">
        <v>8359893.5499999998</v>
      </c>
      <c r="T26" s="27">
        <v>0.23880906203947078</v>
      </c>
      <c r="U26" s="18">
        <v>8192410</v>
      </c>
      <c r="V26" s="27">
        <v>0.21676944751561755</v>
      </c>
      <c r="W26" s="18">
        <v>7730004</v>
      </c>
      <c r="X26" s="27">
        <v>0.16781881933594844</v>
      </c>
      <c r="Y26" s="18">
        <v>7426068</v>
      </c>
      <c r="Z26" s="27">
        <v>0.15290432895041117</v>
      </c>
      <c r="AA26" s="135">
        <v>6909002</v>
      </c>
      <c r="AB26" s="136">
        <f t="shared" si="1"/>
        <v>0.14973748897511305</v>
      </c>
      <c r="AC26" s="1"/>
      <c r="AD26" s="46">
        <v>51</v>
      </c>
      <c r="AE26" s="18">
        <v>133242</v>
      </c>
      <c r="AF26" s="46">
        <v>61</v>
      </c>
      <c r="AG26" s="18">
        <v>174750</v>
      </c>
      <c r="AH26" s="46">
        <v>69</v>
      </c>
      <c r="AI26" s="18">
        <v>119498</v>
      </c>
      <c r="AJ26" s="46">
        <v>68</v>
      </c>
      <c r="AK26" s="18">
        <v>176889</v>
      </c>
      <c r="AL26" s="133">
        <v>83</v>
      </c>
      <c r="AM26" s="135">
        <v>252903</v>
      </c>
      <c r="AN26" s="214" t="str">
        <f t="shared" si="2"/>
        <v>No</v>
      </c>
      <c r="AO26" t="s">
        <v>377</v>
      </c>
      <c r="AP26">
        <v>252903</v>
      </c>
    </row>
    <row r="27" spans="1:42" x14ac:dyDescent="0.25">
      <c r="A27" s="17" t="s">
        <v>11</v>
      </c>
      <c r="B27" s="18">
        <v>13640534</v>
      </c>
      <c r="C27" s="18">
        <v>12971230</v>
      </c>
      <c r="D27" s="18">
        <v>15501357</v>
      </c>
      <c r="E27" s="18">
        <v>18054637</v>
      </c>
      <c r="F27" s="135">
        <v>20641772.290000122</v>
      </c>
      <c r="G27" s="1"/>
      <c r="H27" s="18">
        <v>885191</v>
      </c>
      <c r="I27" s="27">
        <v>6.48941603019354E-2</v>
      </c>
      <c r="J27" s="18">
        <v>1377778</v>
      </c>
      <c r="K27" s="27">
        <v>0.10621799166308823</v>
      </c>
      <c r="L27" s="18">
        <v>1128908</v>
      </c>
      <c r="M27" s="27">
        <v>7.2826398359833913E-2</v>
      </c>
      <c r="N27" s="18">
        <v>1471313</v>
      </c>
      <c r="O27" s="27">
        <v>8.1492250439596209E-2</v>
      </c>
      <c r="P27" s="135">
        <v>1433495</v>
      </c>
      <c r="Q27" s="136">
        <f t="shared" si="0"/>
        <v>6.9446314001557638E-2</v>
      </c>
      <c r="R27" s="1"/>
      <c r="S27" s="18">
        <v>1706402.52</v>
      </c>
      <c r="T27" s="27">
        <v>0.12509792651812604</v>
      </c>
      <c r="U27" s="18">
        <v>1877477</v>
      </c>
      <c r="V27" s="27">
        <v>0.14474163205802379</v>
      </c>
      <c r="W27" s="18">
        <v>2109558</v>
      </c>
      <c r="X27" s="27">
        <v>0.13608860179144316</v>
      </c>
      <c r="Y27" s="18">
        <v>2231627</v>
      </c>
      <c r="Z27" s="27">
        <v>0.12360409129244747</v>
      </c>
      <c r="AA27" s="135">
        <v>2387615</v>
      </c>
      <c r="AB27" s="136">
        <f t="shared" si="1"/>
        <v>0.11566908918749563</v>
      </c>
      <c r="AC27" s="1"/>
      <c r="AD27" s="46">
        <v>70</v>
      </c>
      <c r="AE27" s="18">
        <v>95733</v>
      </c>
      <c r="AF27" s="46">
        <v>19</v>
      </c>
      <c r="AG27" s="18">
        <v>55501</v>
      </c>
      <c r="AH27" s="46">
        <v>69</v>
      </c>
      <c r="AI27" s="18">
        <v>88191</v>
      </c>
      <c r="AJ27" s="46">
        <v>107</v>
      </c>
      <c r="AK27" s="18">
        <v>142172</v>
      </c>
      <c r="AL27" s="133">
        <v>83</v>
      </c>
      <c r="AM27" s="135">
        <v>77379</v>
      </c>
      <c r="AN27" s="214" t="str">
        <f t="shared" si="2"/>
        <v>No</v>
      </c>
      <c r="AO27" t="s">
        <v>378</v>
      </c>
      <c r="AP27">
        <v>77379</v>
      </c>
    </row>
    <row r="28" spans="1:42" x14ac:dyDescent="0.25">
      <c r="A28" s="17" t="s">
        <v>197</v>
      </c>
      <c r="B28" s="18">
        <v>2196316</v>
      </c>
      <c r="C28" s="18">
        <v>2968423</v>
      </c>
      <c r="D28" s="18">
        <v>3344531</v>
      </c>
      <c r="E28" s="18">
        <v>3007070</v>
      </c>
      <c r="F28" s="135">
        <v>4009062.2499999953</v>
      </c>
      <c r="G28" s="1"/>
      <c r="H28" s="18">
        <v>226996</v>
      </c>
      <c r="I28" s="27">
        <v>0.10335306941259818</v>
      </c>
      <c r="J28" s="18">
        <v>119609</v>
      </c>
      <c r="K28" s="27">
        <v>4.0293785622871135E-2</v>
      </c>
      <c r="L28" s="18">
        <v>545065</v>
      </c>
      <c r="M28" s="27">
        <v>0.16297202806611749</v>
      </c>
      <c r="N28" s="18">
        <v>630520</v>
      </c>
      <c r="O28" s="27">
        <v>0.20967918937703478</v>
      </c>
      <c r="P28" s="135">
        <v>630126</v>
      </c>
      <c r="Q28" s="136">
        <f t="shared" si="0"/>
        <v>0.15717540928679785</v>
      </c>
      <c r="R28" s="1"/>
      <c r="S28" s="18">
        <v>498625.79</v>
      </c>
      <c r="T28" s="27">
        <v>0.22702825549693212</v>
      </c>
      <c r="U28" s="18">
        <v>573590</v>
      </c>
      <c r="V28" s="27">
        <v>0.19323054699414471</v>
      </c>
      <c r="W28" s="18">
        <v>657280</v>
      </c>
      <c r="X28" s="27">
        <v>0.19652381753973874</v>
      </c>
      <c r="Y28" s="18">
        <v>615726</v>
      </c>
      <c r="Z28" s="27">
        <v>0.20475945022896042</v>
      </c>
      <c r="AA28" s="135">
        <v>778076</v>
      </c>
      <c r="AB28" s="136">
        <f t="shared" si="1"/>
        <v>0.19407930121314551</v>
      </c>
      <c r="AC28" s="1"/>
      <c r="AD28" s="46">
        <v>96</v>
      </c>
      <c r="AE28" s="18">
        <v>319673</v>
      </c>
      <c r="AF28" s="46">
        <v>146</v>
      </c>
      <c r="AG28" s="18">
        <v>545493</v>
      </c>
      <c r="AH28" s="46">
        <v>179</v>
      </c>
      <c r="AI28" s="18">
        <v>446153</v>
      </c>
      <c r="AJ28" s="46">
        <v>175</v>
      </c>
      <c r="AK28" s="18">
        <v>504259</v>
      </c>
      <c r="AL28" s="133">
        <v>244</v>
      </c>
      <c r="AM28" s="135">
        <v>599942</v>
      </c>
      <c r="AN28" s="214" t="str">
        <f t="shared" si="2"/>
        <v>OK</v>
      </c>
      <c r="AO28" t="s">
        <v>197</v>
      </c>
      <c r="AP28">
        <v>599942</v>
      </c>
    </row>
    <row r="29" spans="1:42" x14ac:dyDescent="0.25">
      <c r="A29" s="17" t="s">
        <v>12</v>
      </c>
      <c r="B29" s="18">
        <v>3614935</v>
      </c>
      <c r="C29" s="18">
        <v>3460727</v>
      </c>
      <c r="D29" s="18">
        <v>3895779</v>
      </c>
      <c r="E29" s="18">
        <v>3958087</v>
      </c>
      <c r="F29" s="135">
        <v>4549448.459999999</v>
      </c>
      <c r="G29" s="1"/>
      <c r="H29" s="18">
        <v>434677</v>
      </c>
      <c r="I29" s="27">
        <v>0.12024476235395658</v>
      </c>
      <c r="J29" s="18">
        <v>832870</v>
      </c>
      <c r="K29" s="27">
        <v>0.24066330571582215</v>
      </c>
      <c r="L29" s="18">
        <v>218319</v>
      </c>
      <c r="M29" s="27">
        <v>5.6039883165857202E-2</v>
      </c>
      <c r="N29" s="18">
        <v>369453</v>
      </c>
      <c r="O29" s="27">
        <v>9.3341303513540752E-2</v>
      </c>
      <c r="P29" s="135">
        <v>561722</v>
      </c>
      <c r="Q29" s="136">
        <f t="shared" si="0"/>
        <v>0.12347035139288073</v>
      </c>
      <c r="R29" s="1"/>
      <c r="S29" s="18">
        <v>992486.71</v>
      </c>
      <c r="T29" s="27">
        <v>0.27455174436054863</v>
      </c>
      <c r="U29" s="18">
        <v>919218</v>
      </c>
      <c r="V29" s="27">
        <v>0.26561413252186605</v>
      </c>
      <c r="W29" s="18">
        <v>872848</v>
      </c>
      <c r="X29" s="27">
        <v>0.22404967016866204</v>
      </c>
      <c r="Y29" s="18">
        <v>871948</v>
      </c>
      <c r="Z29" s="27">
        <v>0.22029530932493399</v>
      </c>
      <c r="AA29" s="135">
        <v>1019021</v>
      </c>
      <c r="AB29" s="136">
        <f t="shared" si="1"/>
        <v>0.22398781060155151</v>
      </c>
      <c r="AC29" s="1"/>
      <c r="AD29" s="46">
        <v>14</v>
      </c>
      <c r="AE29" s="18">
        <v>53084</v>
      </c>
      <c r="AF29" s="46">
        <v>14</v>
      </c>
      <c r="AG29" s="18">
        <v>65514</v>
      </c>
      <c r="AH29" s="46">
        <v>15</v>
      </c>
      <c r="AI29" s="18">
        <v>113500</v>
      </c>
      <c r="AJ29" s="46">
        <v>24</v>
      </c>
      <c r="AK29" s="18">
        <v>191824</v>
      </c>
      <c r="AL29" s="133">
        <v>23</v>
      </c>
      <c r="AM29" s="135">
        <v>155522</v>
      </c>
      <c r="AN29" s="214" t="str">
        <f t="shared" si="2"/>
        <v>OK</v>
      </c>
      <c r="AO29" t="s">
        <v>12</v>
      </c>
      <c r="AP29">
        <v>155522</v>
      </c>
    </row>
    <row r="30" spans="1:42" x14ac:dyDescent="0.25">
      <c r="A30" s="17" t="s">
        <v>13</v>
      </c>
      <c r="B30" s="18">
        <v>3974675</v>
      </c>
      <c r="C30" s="18">
        <v>3282714</v>
      </c>
      <c r="D30" s="18">
        <v>2520930</v>
      </c>
      <c r="E30" s="18">
        <v>2919196</v>
      </c>
      <c r="F30" s="135">
        <v>4022972.1199999978</v>
      </c>
      <c r="G30" s="1"/>
      <c r="H30" s="18">
        <v>1836683</v>
      </c>
      <c r="I30" s="27">
        <v>0.46209639781868955</v>
      </c>
      <c r="J30" s="18">
        <v>1085529</v>
      </c>
      <c r="K30" s="27">
        <v>0.33068034559209242</v>
      </c>
      <c r="L30" s="18">
        <v>589095</v>
      </c>
      <c r="M30" s="27">
        <v>0.23368161749830418</v>
      </c>
      <c r="N30" s="18">
        <v>903643</v>
      </c>
      <c r="O30" s="27">
        <v>0.30955201363663143</v>
      </c>
      <c r="P30" s="135">
        <v>810672</v>
      </c>
      <c r="Q30" s="136">
        <f t="shared" si="0"/>
        <v>0.20151071790176872</v>
      </c>
      <c r="R30" s="1"/>
      <c r="S30" s="18">
        <v>542448.65</v>
      </c>
      <c r="T30" s="27">
        <v>0.1364762276160944</v>
      </c>
      <c r="U30" s="18">
        <v>524134</v>
      </c>
      <c r="V30" s="27">
        <v>0.1596648383014786</v>
      </c>
      <c r="W30" s="18">
        <v>140239</v>
      </c>
      <c r="X30" s="27">
        <v>5.5629866755522762E-2</v>
      </c>
      <c r="Y30" s="18">
        <v>273746</v>
      </c>
      <c r="Z30" s="27">
        <v>9.3774450225336023E-2</v>
      </c>
      <c r="AA30" s="135">
        <v>476931</v>
      </c>
      <c r="AB30" s="136">
        <f t="shared" si="1"/>
        <v>0.11855190286528763</v>
      </c>
      <c r="AC30" s="1"/>
      <c r="AD30" s="46">
        <v>1</v>
      </c>
      <c r="AE30" s="18">
        <v>9</v>
      </c>
      <c r="AF30" s="46"/>
      <c r="AG30" s="18"/>
      <c r="AH30" s="46"/>
      <c r="AI30" s="18"/>
      <c r="AJ30" s="46"/>
      <c r="AK30" s="18"/>
      <c r="AL30" s="133">
        <v>1</v>
      </c>
      <c r="AM30" s="135">
        <v>1000</v>
      </c>
      <c r="AN30" s="214" t="str">
        <f t="shared" si="2"/>
        <v>OK</v>
      </c>
      <c r="AO30" t="s">
        <v>13</v>
      </c>
      <c r="AP30">
        <v>1000</v>
      </c>
    </row>
    <row r="31" spans="1:42" x14ac:dyDescent="0.25">
      <c r="A31" s="17" t="s">
        <v>14</v>
      </c>
      <c r="B31" s="18">
        <v>2607851</v>
      </c>
      <c r="C31" s="18">
        <v>2932099</v>
      </c>
      <c r="D31" s="18">
        <v>3660512</v>
      </c>
      <c r="E31" s="18">
        <v>4212459</v>
      </c>
      <c r="F31" s="135">
        <v>4086909.9299999881</v>
      </c>
      <c r="G31" s="1"/>
      <c r="H31" s="18">
        <v>434476</v>
      </c>
      <c r="I31" s="27">
        <v>0.16660307663282911</v>
      </c>
      <c r="J31" s="18">
        <v>550809</v>
      </c>
      <c r="K31" s="27">
        <v>0.18785484391898091</v>
      </c>
      <c r="L31" s="18">
        <v>353010</v>
      </c>
      <c r="M31" s="27">
        <v>9.643732898567195E-2</v>
      </c>
      <c r="N31" s="18">
        <v>291944</v>
      </c>
      <c r="O31" s="27">
        <v>6.9304888190009684E-2</v>
      </c>
      <c r="P31" s="135">
        <v>397624</v>
      </c>
      <c r="Q31" s="136">
        <f t="shared" si="0"/>
        <v>9.7292087863556406E-2</v>
      </c>
      <c r="R31" s="1"/>
      <c r="S31" s="18">
        <v>73876</v>
      </c>
      <c r="T31" s="27">
        <v>2.8328305566537353E-2</v>
      </c>
      <c r="U31" s="18">
        <v>95997</v>
      </c>
      <c r="V31" s="27">
        <v>3.274002685448206E-2</v>
      </c>
      <c r="W31" s="18">
        <v>84550</v>
      </c>
      <c r="X31" s="27">
        <v>2.3097861719890551E-2</v>
      </c>
      <c r="Y31" s="18">
        <v>162624</v>
      </c>
      <c r="Z31" s="27">
        <v>3.8605479602294053E-2</v>
      </c>
      <c r="AA31" s="135">
        <v>281639</v>
      </c>
      <c r="AB31" s="136">
        <f t="shared" si="1"/>
        <v>6.8912455822093641E-2</v>
      </c>
      <c r="AC31" s="1"/>
      <c r="AD31" s="46">
        <v>9</v>
      </c>
      <c r="AE31" s="18">
        <v>86000</v>
      </c>
      <c r="AF31" s="46">
        <v>51</v>
      </c>
      <c r="AG31" s="18">
        <v>121930</v>
      </c>
      <c r="AH31" s="46">
        <v>58</v>
      </c>
      <c r="AI31" s="18">
        <v>109800</v>
      </c>
      <c r="AJ31" s="46">
        <v>49</v>
      </c>
      <c r="AK31" s="18">
        <v>56742</v>
      </c>
      <c r="AL31" s="133">
        <v>6</v>
      </c>
      <c r="AM31" s="135">
        <v>56950</v>
      </c>
      <c r="AN31" s="214" t="str">
        <f t="shared" si="2"/>
        <v>OK</v>
      </c>
      <c r="AO31" t="s">
        <v>14</v>
      </c>
      <c r="AP31">
        <v>56950</v>
      </c>
    </row>
    <row r="32" spans="1:42" x14ac:dyDescent="0.25">
      <c r="A32" s="17" t="s">
        <v>15</v>
      </c>
      <c r="B32" s="18">
        <v>537963</v>
      </c>
      <c r="C32" s="18">
        <v>596680</v>
      </c>
      <c r="D32" s="18">
        <v>436763</v>
      </c>
      <c r="E32" s="18">
        <v>876148</v>
      </c>
      <c r="F32" s="135">
        <v>913164.5</v>
      </c>
      <c r="G32" s="1"/>
      <c r="H32" s="18">
        <v>101217</v>
      </c>
      <c r="I32" s="27">
        <v>0.18814862732195337</v>
      </c>
      <c r="J32" s="18">
        <v>71353</v>
      </c>
      <c r="K32" s="27">
        <v>0.11958336126567004</v>
      </c>
      <c r="L32" s="18">
        <v>32078</v>
      </c>
      <c r="M32" s="27">
        <v>7.344486597994794E-2</v>
      </c>
      <c r="N32" s="18">
        <v>136198</v>
      </c>
      <c r="O32" s="27">
        <v>0.15545090555476929</v>
      </c>
      <c r="P32" s="135">
        <v>73931</v>
      </c>
      <c r="Q32" s="136">
        <f t="shared" si="0"/>
        <v>8.0961316389325258E-2</v>
      </c>
      <c r="R32" s="1"/>
      <c r="S32" s="18">
        <v>302804</v>
      </c>
      <c r="T32" s="27">
        <v>0.56287142424293124</v>
      </c>
      <c r="U32" s="18">
        <v>367268</v>
      </c>
      <c r="V32" s="27">
        <v>0.61551920627472012</v>
      </c>
      <c r="W32" s="18">
        <v>309616</v>
      </c>
      <c r="X32" s="27">
        <v>0.70888788656548285</v>
      </c>
      <c r="Y32" s="18">
        <v>429817</v>
      </c>
      <c r="Z32" s="27">
        <v>0.49057579313084093</v>
      </c>
      <c r="AA32" s="135">
        <v>396426</v>
      </c>
      <c r="AB32" s="136">
        <f t="shared" si="1"/>
        <v>0.43412331513106345</v>
      </c>
      <c r="AC32" s="1"/>
      <c r="AD32" s="46"/>
      <c r="AE32" s="18"/>
      <c r="AF32" s="46"/>
      <c r="AG32" s="18"/>
      <c r="AH32" s="46"/>
      <c r="AI32" s="18"/>
      <c r="AJ32" s="46"/>
      <c r="AK32" s="18"/>
      <c r="AL32" s="133"/>
      <c r="AM32" s="135"/>
      <c r="AN32" s="214" t="str">
        <f t="shared" si="2"/>
        <v>OK</v>
      </c>
      <c r="AO32" t="s">
        <v>15</v>
      </c>
    </row>
    <row r="33" spans="1:42" x14ac:dyDescent="0.25">
      <c r="A33" s="17" t="s">
        <v>16</v>
      </c>
      <c r="B33" s="18">
        <v>8779991</v>
      </c>
      <c r="C33" s="18">
        <v>9691945</v>
      </c>
      <c r="D33" s="18">
        <v>9916531</v>
      </c>
      <c r="E33" s="18">
        <v>10357949</v>
      </c>
      <c r="F33" s="135">
        <v>11300274.329999998</v>
      </c>
      <c r="G33" s="1"/>
      <c r="H33" s="18">
        <v>515352</v>
      </c>
      <c r="I33" s="27">
        <v>5.8696187729577402E-2</v>
      </c>
      <c r="J33" s="18">
        <v>867346</v>
      </c>
      <c r="K33" s="27">
        <v>8.9491428191142239E-2</v>
      </c>
      <c r="L33" s="18">
        <v>528814</v>
      </c>
      <c r="M33" s="27">
        <v>5.3326511055126029E-2</v>
      </c>
      <c r="N33" s="18">
        <v>1045889</v>
      </c>
      <c r="O33" s="27">
        <v>0.10097452690682296</v>
      </c>
      <c r="P33" s="135">
        <v>716540</v>
      </c>
      <c r="Q33" s="136">
        <f t="shared" si="0"/>
        <v>6.3409080087350425E-2</v>
      </c>
      <c r="R33" s="1"/>
      <c r="S33" s="18">
        <v>363036</v>
      </c>
      <c r="T33" s="27">
        <v>4.1348106165484677E-2</v>
      </c>
      <c r="U33" s="18">
        <v>456561</v>
      </c>
      <c r="V33" s="27">
        <v>4.7107262783682741E-2</v>
      </c>
      <c r="W33" s="18">
        <v>483943</v>
      </c>
      <c r="X33" s="27">
        <v>4.8801642429192223E-2</v>
      </c>
      <c r="Y33" s="18">
        <v>332093</v>
      </c>
      <c r="Z33" s="27">
        <v>3.2061656221709527E-2</v>
      </c>
      <c r="AA33" s="135">
        <v>438219</v>
      </c>
      <c r="AB33" s="136">
        <f t="shared" si="1"/>
        <v>3.8779501028272829E-2</v>
      </c>
      <c r="AC33" s="1"/>
      <c r="AD33" s="46">
        <v>3</v>
      </c>
      <c r="AE33" s="18">
        <v>7225</v>
      </c>
      <c r="AF33" s="46">
        <v>7</v>
      </c>
      <c r="AG33" s="18">
        <v>4619</v>
      </c>
      <c r="AH33" s="46">
        <v>7</v>
      </c>
      <c r="AI33" s="18">
        <v>21315</v>
      </c>
      <c r="AJ33" s="46">
        <v>3</v>
      </c>
      <c r="AK33" s="18">
        <v>17000</v>
      </c>
      <c r="AL33" s="133">
        <v>7</v>
      </c>
      <c r="AM33" s="135">
        <v>4061</v>
      </c>
      <c r="AN33" s="214" t="str">
        <f t="shared" si="2"/>
        <v>OK</v>
      </c>
      <c r="AO33" t="s">
        <v>16</v>
      </c>
      <c r="AP33">
        <v>4061</v>
      </c>
    </row>
    <row r="34" spans="1:42" x14ac:dyDescent="0.25">
      <c r="A34" s="17" t="s">
        <v>17</v>
      </c>
      <c r="B34" s="18">
        <v>2102237</v>
      </c>
      <c r="C34" s="18">
        <v>2658420</v>
      </c>
      <c r="D34" s="18">
        <v>5009138</v>
      </c>
      <c r="E34" s="18">
        <v>3244094</v>
      </c>
      <c r="F34" s="135">
        <v>3022017.8499999978</v>
      </c>
      <c r="G34" s="1"/>
      <c r="H34" s="18">
        <v>162108</v>
      </c>
      <c r="I34" s="27">
        <v>7.7112142922039717E-2</v>
      </c>
      <c r="J34" s="18">
        <v>202885</v>
      </c>
      <c r="K34" s="27">
        <v>7.6317888068852924E-2</v>
      </c>
      <c r="L34" s="18">
        <v>240073</v>
      </c>
      <c r="M34" s="27">
        <v>4.792700859908431E-2</v>
      </c>
      <c r="N34" s="18">
        <v>93339</v>
      </c>
      <c r="O34" s="27">
        <v>2.8771977630734497E-2</v>
      </c>
      <c r="P34" s="135">
        <v>118466</v>
      </c>
      <c r="Q34" s="136">
        <f t="shared" si="0"/>
        <v>3.9200959716369672E-2</v>
      </c>
      <c r="R34" s="1"/>
      <c r="S34" s="18">
        <v>323004.56</v>
      </c>
      <c r="T34" s="27">
        <v>0.15364802351019413</v>
      </c>
      <c r="U34" s="18">
        <v>376062</v>
      </c>
      <c r="V34" s="27">
        <v>0.14146071726815176</v>
      </c>
      <c r="W34" s="18">
        <v>343117</v>
      </c>
      <c r="X34" s="27">
        <v>6.8498212666530653E-2</v>
      </c>
      <c r="Y34" s="18">
        <v>390143</v>
      </c>
      <c r="Z34" s="27">
        <v>0.12026254479679072</v>
      </c>
      <c r="AA34" s="135">
        <v>258266</v>
      </c>
      <c r="AB34" s="136">
        <f t="shared" si="1"/>
        <v>8.5461440937551106E-2</v>
      </c>
      <c r="AC34" s="1"/>
      <c r="AD34" s="46">
        <v>30</v>
      </c>
      <c r="AE34" s="18">
        <v>66037</v>
      </c>
      <c r="AF34" s="46">
        <v>12</v>
      </c>
      <c r="AG34" s="18">
        <v>116280</v>
      </c>
      <c r="AH34" s="46">
        <v>11</v>
      </c>
      <c r="AI34" s="18">
        <v>76509</v>
      </c>
      <c r="AJ34" s="46">
        <v>11</v>
      </c>
      <c r="AK34" s="18">
        <v>59261</v>
      </c>
      <c r="AL34" s="133">
        <v>3</v>
      </c>
      <c r="AM34" s="135">
        <v>18758</v>
      </c>
      <c r="AN34" s="214" t="str">
        <f t="shared" si="2"/>
        <v>OK</v>
      </c>
      <c r="AO34" t="s">
        <v>17</v>
      </c>
      <c r="AP34">
        <v>18758</v>
      </c>
    </row>
    <row r="35" spans="1:42" x14ac:dyDescent="0.25">
      <c r="A35" s="17" t="s">
        <v>18</v>
      </c>
      <c r="B35" s="18">
        <v>9607519</v>
      </c>
      <c r="C35" s="18">
        <v>9795690</v>
      </c>
      <c r="D35" s="18">
        <v>9992855</v>
      </c>
      <c r="E35" s="18">
        <v>10941388</v>
      </c>
      <c r="F35" s="135">
        <v>10500226.629999992</v>
      </c>
      <c r="G35" s="1"/>
      <c r="H35" s="18">
        <v>1132331</v>
      </c>
      <c r="I35" s="27">
        <v>0.11785883535593321</v>
      </c>
      <c r="J35" s="18">
        <v>1716106</v>
      </c>
      <c r="K35" s="27">
        <v>0.17518990494799244</v>
      </c>
      <c r="L35" s="18">
        <v>2091402</v>
      </c>
      <c r="M35" s="27">
        <v>0.20928973751745622</v>
      </c>
      <c r="N35" s="18">
        <v>1219731</v>
      </c>
      <c r="O35" s="27">
        <v>0.11147863506896931</v>
      </c>
      <c r="P35" s="135">
        <v>1358340</v>
      </c>
      <c r="Q35" s="136">
        <f t="shared" si="0"/>
        <v>0.12936292214104345</v>
      </c>
      <c r="R35" s="1"/>
      <c r="S35" s="18">
        <v>1430051</v>
      </c>
      <c r="T35" s="27">
        <v>0.14884706447106688</v>
      </c>
      <c r="U35" s="18">
        <v>1651526</v>
      </c>
      <c r="V35" s="27">
        <v>0.16859720958911523</v>
      </c>
      <c r="W35" s="18">
        <v>1598036</v>
      </c>
      <c r="X35" s="27">
        <v>0.15991786131190736</v>
      </c>
      <c r="Y35" s="18">
        <v>1483034</v>
      </c>
      <c r="Z35" s="27">
        <v>0.1355434977719463</v>
      </c>
      <c r="AA35" s="135">
        <v>1592630</v>
      </c>
      <c r="AB35" s="136">
        <f t="shared" si="1"/>
        <v>0.15167577387803499</v>
      </c>
      <c r="AC35" s="1"/>
      <c r="AD35" s="46">
        <v>89</v>
      </c>
      <c r="AE35" s="18">
        <v>347400</v>
      </c>
      <c r="AF35" s="46">
        <v>94</v>
      </c>
      <c r="AG35" s="18">
        <v>224942</v>
      </c>
      <c r="AH35" s="46">
        <v>89</v>
      </c>
      <c r="AI35" s="18">
        <v>232427</v>
      </c>
      <c r="AJ35" s="46">
        <v>105</v>
      </c>
      <c r="AK35" s="18">
        <v>305335</v>
      </c>
      <c r="AL35" s="133">
        <v>85</v>
      </c>
      <c r="AM35" s="135">
        <v>268984</v>
      </c>
      <c r="AN35" s="214" t="str">
        <f t="shared" si="2"/>
        <v>OK</v>
      </c>
      <c r="AO35" t="s">
        <v>18</v>
      </c>
      <c r="AP35">
        <v>268984</v>
      </c>
    </row>
    <row r="36" spans="1:42" x14ac:dyDescent="0.25">
      <c r="A36" s="17" t="s">
        <v>19</v>
      </c>
      <c r="B36" s="18">
        <v>7542187</v>
      </c>
      <c r="C36" s="18">
        <v>7896229</v>
      </c>
      <c r="D36" s="18">
        <v>8172087</v>
      </c>
      <c r="E36" s="18">
        <v>9525145</v>
      </c>
      <c r="F36" s="135">
        <v>10286931</v>
      </c>
      <c r="G36" s="1"/>
      <c r="H36" s="18">
        <v>837105</v>
      </c>
      <c r="I36" s="27">
        <v>0.11098969039086408</v>
      </c>
      <c r="J36" s="18">
        <v>532278</v>
      </c>
      <c r="K36" s="27">
        <v>6.740913922329253E-2</v>
      </c>
      <c r="L36" s="18">
        <v>417695</v>
      </c>
      <c r="M36" s="27">
        <v>5.111240249889655E-2</v>
      </c>
      <c r="N36" s="18">
        <v>777479</v>
      </c>
      <c r="O36" s="27">
        <v>8.1623849295732506E-2</v>
      </c>
      <c r="P36" s="135">
        <v>986779</v>
      </c>
      <c r="Q36" s="136">
        <f t="shared" si="0"/>
        <v>9.592550003494725E-2</v>
      </c>
      <c r="R36" s="1"/>
      <c r="S36" s="18">
        <v>749559.27</v>
      </c>
      <c r="T36" s="27">
        <v>9.9382217651193219E-2</v>
      </c>
      <c r="U36" s="18">
        <v>585512</v>
      </c>
      <c r="V36" s="27">
        <v>7.4150838330549931E-2</v>
      </c>
      <c r="W36" s="18">
        <v>490185</v>
      </c>
      <c r="X36" s="27">
        <v>5.9982841592361905E-2</v>
      </c>
      <c r="Y36" s="18">
        <v>597764</v>
      </c>
      <c r="Z36" s="27">
        <v>6.2756419981008157E-2</v>
      </c>
      <c r="AA36" s="135">
        <v>704604</v>
      </c>
      <c r="AB36" s="136">
        <f t="shared" si="1"/>
        <v>6.8495064271355571E-2</v>
      </c>
      <c r="AC36" s="1"/>
      <c r="AD36" s="46"/>
      <c r="AE36" s="18"/>
      <c r="AF36" s="46"/>
      <c r="AG36" s="18"/>
      <c r="AH36" s="46">
        <v>1</v>
      </c>
      <c r="AI36" s="18">
        <v>750</v>
      </c>
      <c r="AJ36" s="46"/>
      <c r="AK36" s="18"/>
      <c r="AL36" s="133"/>
      <c r="AM36" s="135"/>
      <c r="AN36" s="214" t="str">
        <f t="shared" si="2"/>
        <v>OK</v>
      </c>
      <c r="AO36" t="s">
        <v>19</v>
      </c>
    </row>
    <row r="37" spans="1:42" x14ac:dyDescent="0.25">
      <c r="A37" s="17" t="s">
        <v>31</v>
      </c>
      <c r="B37" s="18"/>
      <c r="C37" s="18"/>
      <c r="D37" s="18"/>
      <c r="E37" s="18"/>
      <c r="F37" s="135"/>
      <c r="G37" s="1"/>
      <c r="H37" s="18"/>
      <c r="I37" s="27"/>
      <c r="J37" s="18"/>
      <c r="K37" s="27"/>
      <c r="L37" s="18"/>
      <c r="M37" s="27"/>
      <c r="N37" s="18"/>
      <c r="O37" s="27"/>
      <c r="P37" s="135"/>
      <c r="Q37" s="136"/>
      <c r="R37" s="1"/>
      <c r="S37" s="18"/>
      <c r="T37" s="27"/>
      <c r="U37" s="18"/>
      <c r="V37" s="27"/>
      <c r="W37" s="18"/>
      <c r="X37" s="27"/>
      <c r="Y37" s="18"/>
      <c r="Z37" s="27"/>
      <c r="AA37" s="135"/>
      <c r="AB37" s="136"/>
      <c r="AC37" s="1"/>
      <c r="AD37" s="46"/>
      <c r="AE37" s="18"/>
      <c r="AF37" s="46"/>
      <c r="AG37" s="18"/>
      <c r="AH37" s="46"/>
      <c r="AI37" s="18"/>
      <c r="AJ37" s="46"/>
      <c r="AK37" s="18"/>
      <c r="AL37" s="133"/>
      <c r="AM37" s="135"/>
      <c r="AN37" s="214" t="str">
        <f t="shared" si="2"/>
        <v>No</v>
      </c>
      <c r="AO37" t="s">
        <v>380</v>
      </c>
    </row>
    <row r="38" spans="1:42" x14ac:dyDescent="0.25">
      <c r="A38" s="17" t="s">
        <v>20</v>
      </c>
      <c r="B38" s="18">
        <v>549182</v>
      </c>
      <c r="C38" s="18">
        <v>595905</v>
      </c>
      <c r="D38" s="18">
        <v>566573</v>
      </c>
      <c r="E38" s="18">
        <v>624155</v>
      </c>
      <c r="F38" s="135">
        <v>659787.46</v>
      </c>
      <c r="G38" s="1"/>
      <c r="H38" s="18">
        <v>52500</v>
      </c>
      <c r="I38" s="27">
        <v>9.559672385475125E-2</v>
      </c>
      <c r="J38" s="18">
        <v>24450</v>
      </c>
      <c r="K38" s="27">
        <v>4.1030029954439044E-2</v>
      </c>
      <c r="L38" s="18">
        <v>102150</v>
      </c>
      <c r="M38" s="27">
        <v>0.1802945075038874</v>
      </c>
      <c r="N38" s="18">
        <v>50779</v>
      </c>
      <c r="O38" s="27">
        <v>8.1356393844477737E-2</v>
      </c>
      <c r="P38" s="135">
        <v>44509</v>
      </c>
      <c r="Q38" s="136">
        <f t="shared" si="0"/>
        <v>6.7459602824218576E-2</v>
      </c>
      <c r="R38" s="1"/>
      <c r="S38" s="18">
        <v>50175</v>
      </c>
      <c r="T38" s="27">
        <v>9.1363154655469403E-2</v>
      </c>
      <c r="U38" s="18">
        <v>42700</v>
      </c>
      <c r="V38" s="27">
        <v>7.1655716934746316E-2</v>
      </c>
      <c r="W38" s="18">
        <v>79550</v>
      </c>
      <c r="X38" s="27">
        <v>0.14040556115452024</v>
      </c>
      <c r="Y38" s="18">
        <v>58890</v>
      </c>
      <c r="Z38" s="27">
        <v>9.4351563313599993E-2</v>
      </c>
      <c r="AA38" s="135">
        <v>76350</v>
      </c>
      <c r="AB38" s="136">
        <f t="shared" si="1"/>
        <v>0.11571908323325818</v>
      </c>
      <c r="AC38" s="1"/>
      <c r="AD38" s="46"/>
      <c r="AE38" s="18"/>
      <c r="AF38" s="46"/>
      <c r="AG38" s="18"/>
      <c r="AH38" s="46"/>
      <c r="AI38" s="18"/>
      <c r="AJ38" s="46"/>
      <c r="AK38" s="18"/>
      <c r="AL38" s="133"/>
      <c r="AM38" s="135"/>
      <c r="AN38" s="214" t="str">
        <f t="shared" si="2"/>
        <v>OK</v>
      </c>
      <c r="AO38" t="s">
        <v>20</v>
      </c>
    </row>
    <row r="39" spans="1:42" x14ac:dyDescent="0.25">
      <c r="A39" s="17" t="s">
        <v>27</v>
      </c>
      <c r="B39" s="18"/>
      <c r="C39" s="18"/>
      <c r="D39" s="18"/>
      <c r="E39" s="18"/>
      <c r="F39" s="135"/>
      <c r="G39" s="1"/>
      <c r="H39" s="18"/>
      <c r="I39" s="27"/>
      <c r="J39" s="18"/>
      <c r="K39" s="27"/>
      <c r="L39" s="18"/>
      <c r="M39" s="27"/>
      <c r="N39" s="18"/>
      <c r="O39" s="27"/>
      <c r="P39" s="135"/>
      <c r="Q39" s="136"/>
      <c r="R39" s="1"/>
      <c r="S39" s="18"/>
      <c r="T39" s="27"/>
      <c r="U39" s="18"/>
      <c r="V39" s="27"/>
      <c r="W39" s="18"/>
      <c r="X39" s="27"/>
      <c r="Y39" s="18"/>
      <c r="Z39" s="27"/>
      <c r="AA39" s="135"/>
      <c r="AB39" s="136"/>
      <c r="AC39" s="1"/>
      <c r="AD39" s="46"/>
      <c r="AE39" s="18"/>
      <c r="AF39" s="46"/>
      <c r="AG39" s="18"/>
      <c r="AH39" s="46"/>
      <c r="AI39" s="18"/>
      <c r="AJ39" s="46"/>
      <c r="AK39" s="18"/>
      <c r="AL39" s="133"/>
      <c r="AM39" s="135"/>
      <c r="AN39" s="214" t="str">
        <f t="shared" si="2"/>
        <v>OK</v>
      </c>
      <c r="AO39" t="s">
        <v>27</v>
      </c>
    </row>
    <row r="40" spans="1:42" x14ac:dyDescent="0.25">
      <c r="A40" s="17" t="s">
        <v>32</v>
      </c>
      <c r="B40" s="18"/>
      <c r="C40" s="18"/>
      <c r="D40" s="18"/>
      <c r="E40" s="18"/>
      <c r="F40" s="135"/>
      <c r="G40" s="1"/>
      <c r="H40" s="18"/>
      <c r="I40" s="27"/>
      <c r="J40" s="18"/>
      <c r="K40" s="27"/>
      <c r="L40" s="18"/>
      <c r="M40" s="27"/>
      <c r="N40" s="18"/>
      <c r="O40" s="27"/>
      <c r="P40" s="135"/>
      <c r="Q40" s="136"/>
      <c r="R40" s="1"/>
      <c r="S40" s="18"/>
      <c r="T40" s="27"/>
      <c r="U40" s="18"/>
      <c r="V40" s="27"/>
      <c r="W40" s="18"/>
      <c r="X40" s="27"/>
      <c r="Y40" s="18"/>
      <c r="Z40" s="27"/>
      <c r="AA40" s="135"/>
      <c r="AB40" s="136"/>
      <c r="AC40" s="1"/>
      <c r="AD40" s="46"/>
      <c r="AE40" s="18"/>
      <c r="AF40" s="46"/>
      <c r="AG40" s="18"/>
      <c r="AH40" s="46"/>
      <c r="AI40" s="18"/>
      <c r="AJ40" s="46"/>
      <c r="AK40" s="18"/>
      <c r="AL40" s="133"/>
      <c r="AM40" s="135"/>
      <c r="AN40" s="214" t="str">
        <f t="shared" si="2"/>
        <v>OK</v>
      </c>
      <c r="AO40" t="s">
        <v>32</v>
      </c>
    </row>
    <row r="41" spans="1:42" x14ac:dyDescent="0.25">
      <c r="A41" s="17" t="s">
        <v>21</v>
      </c>
      <c r="B41" s="18">
        <v>6868</v>
      </c>
      <c r="C41" s="18">
        <v>17110</v>
      </c>
      <c r="D41" s="18">
        <v>31724</v>
      </c>
      <c r="E41" s="18">
        <v>28550</v>
      </c>
      <c r="F41" s="135">
        <v>28298.67</v>
      </c>
      <c r="G41" s="1"/>
      <c r="H41" s="18">
        <v>4703</v>
      </c>
      <c r="I41" s="27">
        <v>0.68476994758299359</v>
      </c>
      <c r="J41" s="18">
        <v>3218</v>
      </c>
      <c r="K41" s="27">
        <v>0.18807714786674459</v>
      </c>
      <c r="L41" s="18">
        <v>4004</v>
      </c>
      <c r="M41" s="27">
        <v>0.12621359223300971</v>
      </c>
      <c r="N41" s="18">
        <v>1058</v>
      </c>
      <c r="O41" s="27">
        <v>3.7057793345008756E-2</v>
      </c>
      <c r="P41" s="135">
        <v>503</v>
      </c>
      <c r="Q41" s="136">
        <f t="shared" si="0"/>
        <v>1.7774686937583994E-2</v>
      </c>
      <c r="R41" s="1"/>
      <c r="S41" s="18">
        <v>5868</v>
      </c>
      <c r="T41" s="27">
        <v>0.85439720442632494</v>
      </c>
      <c r="U41" s="18">
        <v>14610</v>
      </c>
      <c r="V41" s="27">
        <v>0.85388661601402693</v>
      </c>
      <c r="W41" s="18">
        <v>29224</v>
      </c>
      <c r="X41" s="27">
        <v>0.92119530954482409</v>
      </c>
      <c r="Y41" s="18">
        <v>28550</v>
      </c>
      <c r="Z41" s="27">
        <v>1</v>
      </c>
      <c r="AA41" s="135">
        <v>28049</v>
      </c>
      <c r="AB41" s="136">
        <f t="shared" si="1"/>
        <v>0.99117732388129909</v>
      </c>
      <c r="AC41" s="1"/>
      <c r="AD41" s="46">
        <v>2</v>
      </c>
      <c r="AE41" s="18">
        <v>1868</v>
      </c>
      <c r="AF41" s="46">
        <v>2</v>
      </c>
      <c r="AG41" s="18">
        <v>990</v>
      </c>
      <c r="AH41" s="46">
        <v>3</v>
      </c>
      <c r="AI41" s="18">
        <v>1126</v>
      </c>
      <c r="AJ41" s="46">
        <v>2</v>
      </c>
      <c r="AK41" s="18">
        <v>777</v>
      </c>
      <c r="AL41" s="133">
        <v>1</v>
      </c>
      <c r="AM41" s="135">
        <v>174</v>
      </c>
      <c r="AN41" s="214" t="str">
        <f t="shared" si="2"/>
        <v>OK</v>
      </c>
      <c r="AO41" t="s">
        <v>21</v>
      </c>
      <c r="AP41">
        <v>174</v>
      </c>
    </row>
    <row r="42" spans="1:42" x14ac:dyDescent="0.25">
      <c r="A42" s="17" t="s">
        <v>43</v>
      </c>
      <c r="B42" s="18"/>
      <c r="C42" s="18"/>
      <c r="D42" s="18"/>
      <c r="E42" s="18"/>
      <c r="F42" s="135"/>
      <c r="G42" s="1"/>
      <c r="H42" s="18"/>
      <c r="I42" s="27"/>
      <c r="J42" s="18"/>
      <c r="K42" s="27"/>
      <c r="L42" s="18"/>
      <c r="M42" s="27"/>
      <c r="N42" s="18"/>
      <c r="O42" s="27"/>
      <c r="P42" s="135"/>
      <c r="Q42" s="136"/>
      <c r="R42" s="1"/>
      <c r="S42" s="18"/>
      <c r="T42" s="27"/>
      <c r="U42" s="18"/>
      <c r="V42" s="27"/>
      <c r="W42" s="18"/>
      <c r="X42" s="27"/>
      <c r="Y42" s="18"/>
      <c r="Z42" s="27"/>
      <c r="AA42" s="135"/>
      <c r="AB42" s="136"/>
      <c r="AC42" s="1"/>
      <c r="AD42" s="46"/>
      <c r="AE42" s="18"/>
      <c r="AF42" s="46"/>
      <c r="AG42" s="18"/>
      <c r="AH42" s="46"/>
      <c r="AI42" s="18"/>
      <c r="AJ42" s="46"/>
      <c r="AK42" s="18"/>
      <c r="AL42" s="133"/>
      <c r="AM42" s="135"/>
      <c r="AN42" s="214" t="str">
        <f t="shared" si="2"/>
        <v>No</v>
      </c>
    </row>
    <row r="43" spans="1:42" x14ac:dyDescent="0.25">
      <c r="A43" s="17" t="s">
        <v>44</v>
      </c>
      <c r="B43" s="18"/>
      <c r="C43" s="18"/>
      <c r="D43" s="18"/>
      <c r="E43" s="18"/>
      <c r="F43" s="135"/>
      <c r="G43" s="1"/>
      <c r="H43" s="18"/>
      <c r="I43" s="27"/>
      <c r="J43" s="18"/>
      <c r="K43" s="27"/>
      <c r="L43" s="18"/>
      <c r="M43" s="27"/>
      <c r="N43" s="18"/>
      <c r="O43" s="27"/>
      <c r="P43" s="135"/>
      <c r="Q43" s="136"/>
      <c r="R43" s="1"/>
      <c r="S43" s="18"/>
      <c r="T43" s="27"/>
      <c r="U43" s="18"/>
      <c r="V43" s="27"/>
      <c r="W43" s="18"/>
      <c r="X43" s="27"/>
      <c r="Y43" s="18"/>
      <c r="Z43" s="27"/>
      <c r="AA43" s="135"/>
      <c r="AB43" s="136"/>
      <c r="AC43" s="1"/>
      <c r="AD43" s="46"/>
      <c r="AE43" s="18"/>
      <c r="AF43" s="46"/>
      <c r="AG43" s="18"/>
      <c r="AH43" s="46"/>
      <c r="AI43" s="18"/>
      <c r="AJ43" s="46"/>
      <c r="AK43" s="18"/>
      <c r="AL43" s="133"/>
      <c r="AM43" s="135"/>
      <c r="AN43" s="214" t="str">
        <f t="shared" si="2"/>
        <v>No</v>
      </c>
    </row>
    <row r="44" spans="1:42" x14ac:dyDescent="0.25">
      <c r="A44" s="17" t="s">
        <v>35</v>
      </c>
      <c r="B44" s="18"/>
      <c r="C44" s="18"/>
      <c r="D44" s="18"/>
      <c r="E44" s="18"/>
      <c r="F44" s="135"/>
      <c r="G44" s="1"/>
      <c r="H44" s="18"/>
      <c r="I44" s="27"/>
      <c r="J44" s="18"/>
      <c r="K44" s="27"/>
      <c r="L44" s="18"/>
      <c r="M44" s="27"/>
      <c r="N44" s="18"/>
      <c r="O44" s="27"/>
      <c r="P44" s="135"/>
      <c r="Q44" s="136"/>
      <c r="R44" s="1"/>
      <c r="S44" s="18"/>
      <c r="T44" s="27"/>
      <c r="U44" s="18"/>
      <c r="V44" s="27"/>
      <c r="W44" s="18"/>
      <c r="X44" s="27"/>
      <c r="Y44" s="18"/>
      <c r="Z44" s="27"/>
      <c r="AA44" s="135"/>
      <c r="AB44" s="136"/>
      <c r="AC44" s="1"/>
      <c r="AD44" s="46"/>
      <c r="AE44" s="18"/>
      <c r="AF44" s="46"/>
      <c r="AG44" s="18"/>
      <c r="AH44" s="46"/>
      <c r="AI44" s="18"/>
      <c r="AJ44" s="46"/>
      <c r="AK44" s="18"/>
      <c r="AL44" s="133"/>
      <c r="AM44" s="135"/>
      <c r="AN44" s="214" t="str">
        <f t="shared" si="2"/>
        <v>OK</v>
      </c>
      <c r="AO44" t="s">
        <v>35</v>
      </c>
    </row>
    <row r="45" spans="1:42" x14ac:dyDescent="0.25">
      <c r="A45" s="17" t="s">
        <v>36</v>
      </c>
      <c r="B45" s="18"/>
      <c r="C45" s="18"/>
      <c r="D45" s="18"/>
      <c r="E45" s="18"/>
      <c r="F45" s="135"/>
      <c r="G45" s="1"/>
      <c r="H45" s="18"/>
      <c r="I45" s="27"/>
      <c r="J45" s="18"/>
      <c r="K45" s="27"/>
      <c r="L45" s="18"/>
      <c r="M45" s="27"/>
      <c r="N45" s="18"/>
      <c r="O45" s="27"/>
      <c r="P45" s="135"/>
      <c r="Q45" s="136"/>
      <c r="R45" s="1"/>
      <c r="S45" s="18"/>
      <c r="T45" s="27"/>
      <c r="U45" s="18"/>
      <c r="V45" s="27"/>
      <c r="W45" s="18"/>
      <c r="X45" s="27"/>
      <c r="Y45" s="18"/>
      <c r="Z45" s="27"/>
      <c r="AA45" s="135"/>
      <c r="AB45" s="136"/>
      <c r="AC45" s="1"/>
      <c r="AD45" s="46"/>
      <c r="AE45" s="18"/>
      <c r="AF45" s="46"/>
      <c r="AG45" s="18"/>
      <c r="AH45" s="46"/>
      <c r="AI45" s="18"/>
      <c r="AJ45" s="46"/>
      <c r="AK45" s="18"/>
      <c r="AL45" s="133"/>
      <c r="AM45" s="135"/>
      <c r="AN45" s="214" t="str">
        <f t="shared" si="2"/>
        <v>OK</v>
      </c>
      <c r="AO45" t="s">
        <v>36</v>
      </c>
    </row>
    <row r="46" spans="1:42" x14ac:dyDescent="0.25">
      <c r="A46" s="17" t="s">
        <v>37</v>
      </c>
      <c r="B46" s="18"/>
      <c r="C46" s="18"/>
      <c r="D46" s="18"/>
      <c r="E46" s="18"/>
      <c r="F46" s="135">
        <v>7000</v>
      </c>
      <c r="G46" s="1"/>
      <c r="H46" s="18"/>
      <c r="I46" s="27"/>
      <c r="J46" s="18"/>
      <c r="K46" s="27"/>
      <c r="L46" s="18"/>
      <c r="M46" s="27"/>
      <c r="N46" s="18"/>
      <c r="O46" s="27"/>
      <c r="P46" s="135">
        <v>7000</v>
      </c>
      <c r="Q46" s="136">
        <f t="shared" si="0"/>
        <v>1</v>
      </c>
      <c r="R46" s="1"/>
      <c r="S46" s="18"/>
      <c r="T46" s="27"/>
      <c r="U46" s="18"/>
      <c r="V46" s="27"/>
      <c r="W46" s="18"/>
      <c r="X46" s="27"/>
      <c r="Y46" s="18"/>
      <c r="Z46" s="27"/>
      <c r="AA46" s="135"/>
      <c r="AB46" s="136"/>
      <c r="AC46" s="1"/>
      <c r="AD46" s="46"/>
      <c r="AE46" s="18"/>
      <c r="AF46" s="46"/>
      <c r="AG46" s="18"/>
      <c r="AH46" s="46"/>
      <c r="AI46" s="18"/>
      <c r="AJ46" s="46"/>
      <c r="AK46" s="18"/>
      <c r="AL46" s="133">
        <v>2</v>
      </c>
      <c r="AM46" s="135">
        <v>7000</v>
      </c>
      <c r="AN46" s="214" t="str">
        <f t="shared" si="2"/>
        <v>OK</v>
      </c>
      <c r="AO46" t="s">
        <v>37</v>
      </c>
      <c r="AP46">
        <v>7000</v>
      </c>
    </row>
    <row r="47" spans="1:42" x14ac:dyDescent="0.25">
      <c r="A47" s="17" t="s">
        <v>38</v>
      </c>
      <c r="B47" s="18"/>
      <c r="C47" s="18"/>
      <c r="D47" s="18"/>
      <c r="E47" s="18"/>
      <c r="F47" s="135"/>
      <c r="G47" s="1"/>
      <c r="H47" s="18"/>
      <c r="I47" s="27"/>
      <c r="J47" s="18"/>
      <c r="K47" s="27"/>
      <c r="L47" s="18"/>
      <c r="M47" s="27"/>
      <c r="N47" s="18"/>
      <c r="O47" s="27"/>
      <c r="P47" s="135"/>
      <c r="Q47" s="136"/>
      <c r="R47" s="1"/>
      <c r="S47" s="18"/>
      <c r="T47" s="27"/>
      <c r="U47" s="18"/>
      <c r="V47" s="27"/>
      <c r="W47" s="18"/>
      <c r="X47" s="27"/>
      <c r="Y47" s="18"/>
      <c r="Z47" s="27"/>
      <c r="AA47" s="135"/>
      <c r="AB47" s="136"/>
      <c r="AC47" s="1"/>
      <c r="AD47" s="46"/>
      <c r="AE47" s="18"/>
      <c r="AF47" s="46"/>
      <c r="AG47" s="18"/>
      <c r="AH47" s="46"/>
      <c r="AI47" s="18"/>
      <c r="AJ47" s="46"/>
      <c r="AK47" s="18"/>
      <c r="AL47" s="133"/>
      <c r="AM47" s="135"/>
      <c r="AN47" s="214" t="str">
        <f t="shared" si="2"/>
        <v>OK</v>
      </c>
      <c r="AO47" t="s">
        <v>38</v>
      </c>
    </row>
    <row r="48" spans="1:42" x14ac:dyDescent="0.25">
      <c r="A48" s="17" t="s">
        <v>39</v>
      </c>
      <c r="B48" s="18"/>
      <c r="C48" s="18"/>
      <c r="D48" s="18"/>
      <c r="E48" s="18"/>
      <c r="F48" s="135"/>
      <c r="G48" s="1"/>
      <c r="H48" s="18"/>
      <c r="I48" s="27"/>
      <c r="J48" s="18"/>
      <c r="K48" s="27"/>
      <c r="L48" s="18"/>
      <c r="M48" s="27"/>
      <c r="N48" s="18"/>
      <c r="O48" s="27"/>
      <c r="P48" s="135"/>
      <c r="Q48" s="136"/>
      <c r="R48" s="1"/>
      <c r="S48" s="18"/>
      <c r="T48" s="27"/>
      <c r="U48" s="18"/>
      <c r="V48" s="27"/>
      <c r="W48" s="18"/>
      <c r="X48" s="27"/>
      <c r="Y48" s="18"/>
      <c r="Z48" s="27"/>
      <c r="AA48" s="135"/>
      <c r="AB48" s="136"/>
      <c r="AC48" s="1"/>
      <c r="AD48" s="46"/>
      <c r="AE48" s="18"/>
      <c r="AF48" s="46"/>
      <c r="AG48" s="18"/>
      <c r="AH48" s="46"/>
      <c r="AI48" s="18"/>
      <c r="AJ48" s="46"/>
      <c r="AK48" s="18"/>
      <c r="AL48" s="133"/>
      <c r="AM48" s="135"/>
      <c r="AN48" s="214" t="str">
        <f t="shared" si="2"/>
        <v>OK</v>
      </c>
      <c r="AO48" t="s">
        <v>39</v>
      </c>
    </row>
    <row r="49" spans="1:42" x14ac:dyDescent="0.25">
      <c r="A49" s="17" t="s">
        <v>40</v>
      </c>
      <c r="B49" s="18"/>
      <c r="C49" s="18"/>
      <c r="D49" s="18"/>
      <c r="E49" s="18"/>
      <c r="F49" s="135"/>
      <c r="G49" s="1"/>
      <c r="H49" s="18"/>
      <c r="I49" s="27"/>
      <c r="J49" s="18"/>
      <c r="K49" s="27"/>
      <c r="L49" s="18"/>
      <c r="M49" s="27"/>
      <c r="N49" s="18"/>
      <c r="O49" s="27"/>
      <c r="P49" s="135"/>
      <c r="Q49" s="136"/>
      <c r="R49" s="1"/>
      <c r="S49" s="18"/>
      <c r="T49" s="27"/>
      <c r="U49" s="18"/>
      <c r="V49" s="27"/>
      <c r="W49" s="18"/>
      <c r="X49" s="27"/>
      <c r="Y49" s="18"/>
      <c r="Z49" s="27"/>
      <c r="AA49" s="135"/>
      <c r="AB49" s="136"/>
      <c r="AC49" s="1"/>
      <c r="AD49" s="46"/>
      <c r="AE49" s="18"/>
      <c r="AF49" s="46"/>
      <c r="AG49" s="18"/>
      <c r="AH49" s="46"/>
      <c r="AI49" s="18"/>
      <c r="AJ49" s="46"/>
      <c r="AK49" s="18"/>
      <c r="AL49" s="133"/>
      <c r="AM49" s="135"/>
      <c r="AN49" s="214" t="str">
        <f t="shared" si="2"/>
        <v>OK</v>
      </c>
      <c r="AO49" t="s">
        <v>40</v>
      </c>
    </row>
    <row r="50" spans="1:42" x14ac:dyDescent="0.25">
      <c r="A50" s="17" t="s">
        <v>41</v>
      </c>
      <c r="B50" s="18">
        <v>291328</v>
      </c>
      <c r="C50" s="18">
        <v>285022</v>
      </c>
      <c r="D50" s="18">
        <v>394242</v>
      </c>
      <c r="E50" s="18">
        <v>543877</v>
      </c>
      <c r="F50" s="135">
        <v>873821.68</v>
      </c>
      <c r="G50" s="1"/>
      <c r="H50" s="18">
        <v>118709</v>
      </c>
      <c r="I50" s="27">
        <v>0.40747542289103689</v>
      </c>
      <c r="J50" s="18">
        <v>65748</v>
      </c>
      <c r="K50" s="27">
        <v>0.23067693020187915</v>
      </c>
      <c r="L50" s="18">
        <v>36607</v>
      </c>
      <c r="M50" s="27">
        <v>9.2854135277316979E-2</v>
      </c>
      <c r="N50" s="18">
        <v>46815</v>
      </c>
      <c r="O50" s="27">
        <v>8.607644743204805E-2</v>
      </c>
      <c r="P50" s="135">
        <v>187902</v>
      </c>
      <c r="Q50" s="136">
        <f t="shared" si="0"/>
        <v>0.21503471966957835</v>
      </c>
      <c r="R50" s="1"/>
      <c r="S50" s="18">
        <v>92120.41</v>
      </c>
      <c r="T50" s="27">
        <v>0.31620856903558875</v>
      </c>
      <c r="U50" s="18">
        <v>81320</v>
      </c>
      <c r="V50" s="27">
        <v>0.28531130930243981</v>
      </c>
      <c r="W50" s="18">
        <v>110842</v>
      </c>
      <c r="X50" s="27">
        <v>0.28115218571334361</v>
      </c>
      <c r="Y50" s="18">
        <v>170704</v>
      </c>
      <c r="Z50" s="27">
        <v>0.31386508346556297</v>
      </c>
      <c r="AA50" s="135">
        <v>217101</v>
      </c>
      <c r="AB50" s="136">
        <f t="shared" si="1"/>
        <v>0.24845000412441126</v>
      </c>
      <c r="AC50" s="1"/>
      <c r="AD50" s="46"/>
      <c r="AE50" s="18"/>
      <c r="AF50" s="46">
        <v>2</v>
      </c>
      <c r="AG50" s="18">
        <v>8800</v>
      </c>
      <c r="AH50" s="46">
        <v>1</v>
      </c>
      <c r="AI50" s="18">
        <v>1000</v>
      </c>
      <c r="AJ50" s="46">
        <v>4</v>
      </c>
      <c r="AK50" s="18">
        <v>4313</v>
      </c>
      <c r="AL50" s="133"/>
      <c r="AM50" s="135"/>
      <c r="AN50" s="214" t="str">
        <f t="shared" si="2"/>
        <v>OK</v>
      </c>
      <c r="AO50" t="s">
        <v>41</v>
      </c>
    </row>
    <row r="51" spans="1:42" x14ac:dyDescent="0.25">
      <c r="A51" s="17" t="s">
        <v>42</v>
      </c>
      <c r="B51" s="18">
        <v>445774</v>
      </c>
      <c r="C51" s="18">
        <v>370690</v>
      </c>
      <c r="D51" s="18">
        <v>180434</v>
      </c>
      <c r="E51" s="18">
        <v>126464</v>
      </c>
      <c r="F51" s="135">
        <v>111543.67999999999</v>
      </c>
      <c r="G51" s="1"/>
      <c r="H51" s="18">
        <v>12286</v>
      </c>
      <c r="I51" s="27">
        <v>2.756105111558772E-2</v>
      </c>
      <c r="J51" s="18">
        <v>11050</v>
      </c>
      <c r="K51" s="27">
        <v>2.980927459602363E-2</v>
      </c>
      <c r="L51" s="18">
        <v>500</v>
      </c>
      <c r="M51" s="27">
        <v>2.7710963565625102E-3</v>
      </c>
      <c r="N51" s="18">
        <v>1940</v>
      </c>
      <c r="O51" s="27">
        <v>1.5340334008097166E-2</v>
      </c>
      <c r="P51" s="135">
        <v>9450</v>
      </c>
      <c r="Q51" s="136">
        <f t="shared" si="0"/>
        <v>8.4720174195436274E-2</v>
      </c>
      <c r="R51" s="1"/>
      <c r="S51" s="18">
        <v>382010.38</v>
      </c>
      <c r="T51" s="27">
        <v>0.85695975987832396</v>
      </c>
      <c r="U51" s="18">
        <v>277928</v>
      </c>
      <c r="V51" s="27">
        <v>0.74975855836413174</v>
      </c>
      <c r="W51" s="18">
        <v>171384</v>
      </c>
      <c r="X51" s="27">
        <v>0.9498431559462186</v>
      </c>
      <c r="Y51" s="18">
        <v>125360</v>
      </c>
      <c r="Z51" s="27">
        <v>0.99127024291497978</v>
      </c>
      <c r="AA51" s="135">
        <v>108544</v>
      </c>
      <c r="AB51" s="136">
        <f t="shared" si="1"/>
        <v>0.97310757543591897</v>
      </c>
      <c r="AC51" s="1"/>
      <c r="AD51" s="46">
        <v>2</v>
      </c>
      <c r="AE51" s="18">
        <v>35600</v>
      </c>
      <c r="AF51" s="46">
        <v>1</v>
      </c>
      <c r="AG51" s="18">
        <v>500</v>
      </c>
      <c r="AH51" s="46">
        <v>1</v>
      </c>
      <c r="AI51" s="18">
        <v>150</v>
      </c>
      <c r="AJ51" s="46">
        <v>2</v>
      </c>
      <c r="AK51" s="18">
        <v>655</v>
      </c>
      <c r="AL51" s="133">
        <v>1</v>
      </c>
      <c r="AM51" s="135">
        <v>3000</v>
      </c>
      <c r="AN51" s="214" t="str">
        <f t="shared" si="2"/>
        <v>OK</v>
      </c>
      <c r="AO51" t="s">
        <v>42</v>
      </c>
      <c r="AP51">
        <v>3000</v>
      </c>
    </row>
    <row r="52" spans="1:42" x14ac:dyDescent="0.25">
      <c r="A52" s="17"/>
      <c r="B52" s="17"/>
      <c r="C52" s="17"/>
      <c r="D52" s="17"/>
      <c r="E52" s="17"/>
      <c r="F52" s="17"/>
      <c r="G52" s="1"/>
      <c r="H52" s="17"/>
      <c r="I52" s="35"/>
      <c r="J52" s="17"/>
      <c r="K52" s="35"/>
      <c r="L52" s="17"/>
      <c r="M52" s="35"/>
      <c r="N52" s="17"/>
      <c r="O52" s="35"/>
      <c r="P52" s="116"/>
      <c r="Q52" s="137"/>
      <c r="R52" s="1"/>
      <c r="S52" s="17"/>
      <c r="T52" s="35"/>
      <c r="U52" s="17"/>
      <c r="V52" s="35"/>
      <c r="W52" s="17"/>
      <c r="X52" s="35"/>
      <c r="Y52" s="17"/>
      <c r="Z52" s="35"/>
      <c r="AA52" s="116"/>
      <c r="AB52" s="137"/>
      <c r="AC52" s="1"/>
      <c r="AD52" s="17"/>
      <c r="AE52" s="17"/>
      <c r="AF52" s="17"/>
      <c r="AG52" s="17"/>
      <c r="AH52" s="17"/>
      <c r="AI52" s="17"/>
      <c r="AJ52" s="17"/>
      <c r="AK52" s="17"/>
      <c r="AL52" s="116"/>
      <c r="AM52" s="116"/>
    </row>
    <row r="53" spans="1:42" ht="15.75" thickBot="1" x14ac:dyDescent="0.3">
      <c r="A53" s="26" t="s">
        <v>129</v>
      </c>
      <c r="B53" s="37">
        <v>238645089.88</v>
      </c>
      <c r="C53" s="37">
        <v>254108707</v>
      </c>
      <c r="D53" s="37">
        <v>271291202</v>
      </c>
      <c r="E53" s="37">
        <v>290177532</v>
      </c>
      <c r="F53" s="114">
        <f>SUM(F6:F51)</f>
        <v>304969564.49000174</v>
      </c>
      <c r="G53" s="1"/>
      <c r="H53" s="37">
        <v>33577678</v>
      </c>
      <c r="I53" s="28">
        <v>0.14070131514913697</v>
      </c>
      <c r="J53" s="37">
        <v>34089343</v>
      </c>
      <c r="K53" s="28">
        <v>0.13415259714024674</v>
      </c>
      <c r="L53" s="37">
        <v>31560632</v>
      </c>
      <c r="M53" s="28">
        <v>0.11633488947422629</v>
      </c>
      <c r="N53" s="37">
        <v>32521908</v>
      </c>
      <c r="O53" s="28">
        <v>0.11207589979778311</v>
      </c>
      <c r="P53" s="114">
        <f>SUM(P6:P51)</f>
        <v>36741004</v>
      </c>
      <c r="Q53" s="138">
        <f>P53/F53</f>
        <v>0.12047433015632789</v>
      </c>
      <c r="R53" s="1"/>
      <c r="S53" s="37">
        <v>45146149.99000001</v>
      </c>
      <c r="T53" s="28">
        <v>0.18917694896928844</v>
      </c>
      <c r="U53" s="37">
        <v>46874338</v>
      </c>
      <c r="V53" s="28">
        <v>0.1844656901111224</v>
      </c>
      <c r="W53" s="37">
        <v>44282718</v>
      </c>
      <c r="X53" s="28">
        <v>0.16322946587851381</v>
      </c>
      <c r="Y53" s="37">
        <v>47689923</v>
      </c>
      <c r="Z53" s="28">
        <v>0.16434740026667538</v>
      </c>
      <c r="AA53" s="114">
        <f>SUM(AA6:AA51)</f>
        <v>49745813</v>
      </c>
      <c r="AB53" s="138">
        <f>AA53/F53</f>
        <v>0.16311730346990377</v>
      </c>
      <c r="AC53" s="1"/>
      <c r="AD53" s="37">
        <v>1057</v>
      </c>
      <c r="AE53" s="37">
        <v>5443629</v>
      </c>
      <c r="AF53" s="37">
        <v>1113</v>
      </c>
      <c r="AG53" s="37">
        <v>5930319</v>
      </c>
      <c r="AH53" s="37">
        <v>1192</v>
      </c>
      <c r="AI53" s="37">
        <v>5413696</v>
      </c>
      <c r="AJ53" s="37">
        <v>1260</v>
      </c>
      <c r="AK53" s="37">
        <v>6307739</v>
      </c>
      <c r="AL53" s="114">
        <f>SUM(AL6:AL51)</f>
        <v>1262</v>
      </c>
      <c r="AM53" s="114">
        <f>SUM(AM6:AM51)</f>
        <v>6342900</v>
      </c>
    </row>
    <row r="54" spans="1:42" ht="15.75" thickTop="1" x14ac:dyDescent="0.25"/>
  </sheetData>
  <sortState ref="AO6:AP57">
    <sortCondition ref="AO6"/>
  </sortState>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4"/>
  <sheetViews>
    <sheetView workbookViewId="0">
      <pane xSplit="1" ySplit="5" topLeftCell="P42" activePane="bottomRight" state="frozen"/>
      <selection activeCell="C8" sqref="C8"/>
      <selection pane="topRight" activeCell="C8" sqref="C8"/>
      <selection pane="bottomLeft" activeCell="C8" sqref="C8"/>
      <selection pane="bottomRight" activeCell="C8" sqref="C8"/>
    </sheetView>
  </sheetViews>
  <sheetFormatPr defaultRowHeight="15" x14ac:dyDescent="0.25"/>
  <cols>
    <col min="1" max="1" width="49.28515625" bestFit="1" customWidth="1"/>
    <col min="4" max="4" width="9.140625" style="229"/>
    <col min="6" max="6" width="9.140625" style="229"/>
    <col min="11" max="11" width="9.140625" style="229"/>
    <col min="14" max="14" width="9.140625" style="229"/>
    <col min="21" max="21" width="9.140625" style="229"/>
    <col min="24" max="24" width="9.140625" style="229"/>
    <col min="30" max="30" width="20.140625" customWidth="1"/>
  </cols>
  <sheetData>
    <row r="1" spans="1:50" x14ac:dyDescent="0.25">
      <c r="A1" s="30">
        <v>1</v>
      </c>
      <c r="B1" s="30">
        <v>2</v>
      </c>
      <c r="C1" s="30">
        <v>3</v>
      </c>
      <c r="D1" s="30">
        <v>4</v>
      </c>
      <c r="E1" s="30">
        <v>5</v>
      </c>
      <c r="F1" s="30">
        <v>6</v>
      </c>
      <c r="G1" s="30">
        <v>7</v>
      </c>
      <c r="H1" s="30">
        <v>8</v>
      </c>
      <c r="I1" s="30">
        <v>9</v>
      </c>
      <c r="J1" s="30">
        <v>10</v>
      </c>
      <c r="K1" s="30">
        <v>11</v>
      </c>
      <c r="L1" s="30">
        <v>12</v>
      </c>
      <c r="M1" s="30">
        <v>13</v>
      </c>
      <c r="N1" s="30">
        <v>14</v>
      </c>
      <c r="O1" s="30">
        <v>15</v>
      </c>
      <c r="P1" s="30">
        <v>16</v>
      </c>
      <c r="Q1" s="30">
        <v>17</v>
      </c>
      <c r="R1" s="30">
        <v>18</v>
      </c>
      <c r="S1" s="30">
        <v>19</v>
      </c>
      <c r="T1" s="30">
        <v>20</v>
      </c>
      <c r="U1" s="30">
        <v>21</v>
      </c>
      <c r="V1" s="30">
        <v>22</v>
      </c>
      <c r="W1" s="30">
        <v>23</v>
      </c>
      <c r="X1" s="30">
        <v>24</v>
      </c>
      <c r="Y1" s="30">
        <v>25</v>
      </c>
      <c r="Z1" s="30">
        <v>26</v>
      </c>
      <c r="AA1" s="30">
        <v>27</v>
      </c>
      <c r="AB1" s="30">
        <v>28</v>
      </c>
    </row>
    <row r="2" spans="1:50" x14ac:dyDescent="0.25">
      <c r="B2" s="62" t="s">
        <v>236</v>
      </c>
      <c r="C2" s="62"/>
      <c r="D2" s="223"/>
      <c r="E2" s="62"/>
      <c r="F2" s="223"/>
      <c r="G2" s="62"/>
      <c r="H2" s="62"/>
      <c r="I2" s="62"/>
      <c r="J2" s="62"/>
      <c r="K2" s="223"/>
      <c r="L2" s="62"/>
      <c r="M2" s="62"/>
      <c r="N2" s="223"/>
      <c r="O2" s="62"/>
      <c r="P2" s="62"/>
      <c r="Q2" s="62"/>
      <c r="R2" s="62"/>
      <c r="S2" s="62"/>
      <c r="T2" s="62"/>
      <c r="U2" s="223"/>
      <c r="V2" s="62"/>
      <c r="W2" s="62"/>
      <c r="X2" s="223"/>
      <c r="Y2" s="62"/>
      <c r="Z2" s="62"/>
      <c r="AA2" s="62"/>
      <c r="AB2" s="62"/>
    </row>
    <row r="3" spans="1:50" x14ac:dyDescent="0.25">
      <c r="B3" s="63"/>
      <c r="C3" s="63"/>
      <c r="D3" s="224"/>
      <c r="E3" s="63"/>
      <c r="F3" s="224"/>
      <c r="G3" s="63"/>
      <c r="H3" s="64"/>
      <c r="I3" s="63"/>
      <c r="J3" s="63"/>
      <c r="K3" s="224"/>
      <c r="L3" s="63"/>
      <c r="M3" s="63"/>
      <c r="N3" s="224"/>
      <c r="O3" s="63"/>
      <c r="P3" s="64"/>
      <c r="Q3" s="63"/>
      <c r="R3" s="63"/>
      <c r="S3" s="63"/>
      <c r="T3" s="63"/>
      <c r="U3" s="224"/>
      <c r="V3" s="63"/>
      <c r="W3" s="63"/>
      <c r="X3" s="224"/>
      <c r="Y3" s="63"/>
      <c r="Z3" s="64"/>
      <c r="AA3" s="63"/>
      <c r="AB3" s="64"/>
      <c r="AE3" s="424" t="s">
        <v>46</v>
      </c>
      <c r="AF3" s="425"/>
      <c r="AG3" s="425"/>
      <c r="AH3" s="425"/>
      <c r="AI3" s="425"/>
      <c r="AJ3" s="425"/>
      <c r="AK3" s="425"/>
      <c r="AL3" s="425"/>
      <c r="AM3" s="425"/>
      <c r="AN3" s="426"/>
      <c r="AO3" s="424" t="s">
        <v>400</v>
      </c>
      <c r="AP3" s="425"/>
      <c r="AQ3" s="425"/>
      <c r="AR3" s="425"/>
      <c r="AS3" s="425"/>
      <c r="AT3" s="425"/>
      <c r="AU3" s="425"/>
      <c r="AV3" s="425"/>
      <c r="AW3" s="425"/>
      <c r="AX3" s="426"/>
    </row>
    <row r="4" spans="1:50" x14ac:dyDescent="0.25">
      <c r="B4" s="45">
        <v>2017</v>
      </c>
      <c r="C4" s="45">
        <v>2017</v>
      </c>
      <c r="D4" s="45">
        <v>2017</v>
      </c>
      <c r="E4" s="45">
        <v>2017</v>
      </c>
      <c r="F4" s="45">
        <v>2017</v>
      </c>
      <c r="G4" s="45">
        <v>2017</v>
      </c>
      <c r="H4" s="45">
        <v>2017</v>
      </c>
      <c r="I4" s="45">
        <v>2018</v>
      </c>
      <c r="J4" s="45">
        <v>2018</v>
      </c>
      <c r="K4" s="45">
        <v>2018</v>
      </c>
      <c r="L4" s="45">
        <v>2018</v>
      </c>
      <c r="M4" s="45">
        <v>2018</v>
      </c>
      <c r="N4" s="45">
        <v>2018</v>
      </c>
      <c r="O4" s="45">
        <v>2018</v>
      </c>
      <c r="P4" s="45">
        <v>2018</v>
      </c>
      <c r="Q4" s="45">
        <v>2018</v>
      </c>
      <c r="R4" s="45">
        <v>2018</v>
      </c>
      <c r="S4" s="45">
        <v>2019</v>
      </c>
      <c r="T4" s="45">
        <v>2019</v>
      </c>
      <c r="U4" s="45">
        <v>2019</v>
      </c>
      <c r="V4" s="45">
        <v>2019</v>
      </c>
      <c r="W4" s="45">
        <v>2019</v>
      </c>
      <c r="X4" s="45">
        <v>2019</v>
      </c>
      <c r="Y4" s="45">
        <v>2019</v>
      </c>
      <c r="Z4" s="45">
        <v>2019</v>
      </c>
      <c r="AA4" s="45">
        <v>2019</v>
      </c>
      <c r="AB4" s="45">
        <v>2019</v>
      </c>
      <c r="AE4" t="s">
        <v>393</v>
      </c>
      <c r="AG4" t="s">
        <v>394</v>
      </c>
      <c r="AJ4" t="s">
        <v>395</v>
      </c>
      <c r="AL4" t="s">
        <v>396</v>
      </c>
      <c r="AO4" t="s">
        <v>393</v>
      </c>
      <c r="AR4" t="s">
        <v>394</v>
      </c>
      <c r="AU4" t="s">
        <v>395</v>
      </c>
      <c r="AW4" t="s">
        <v>396</v>
      </c>
    </row>
    <row r="5" spans="1:50" ht="60" x14ac:dyDescent="0.25">
      <c r="A5" s="139" t="s">
        <v>45</v>
      </c>
      <c r="B5" s="139" t="s">
        <v>237</v>
      </c>
      <c r="C5" s="139" t="s">
        <v>242</v>
      </c>
      <c r="D5" s="225" t="s">
        <v>243</v>
      </c>
      <c r="E5" s="139" t="s">
        <v>238</v>
      </c>
      <c r="F5" s="225" t="s">
        <v>239</v>
      </c>
      <c r="G5" s="139" t="s">
        <v>244</v>
      </c>
      <c r="H5" s="225" t="s">
        <v>245</v>
      </c>
      <c r="I5" s="139" t="s">
        <v>237</v>
      </c>
      <c r="J5" s="139" t="s">
        <v>242</v>
      </c>
      <c r="K5" s="225" t="s">
        <v>243</v>
      </c>
      <c r="L5" s="139" t="s">
        <v>240</v>
      </c>
      <c r="M5" s="139" t="s">
        <v>238</v>
      </c>
      <c r="N5" s="225" t="s">
        <v>239</v>
      </c>
      <c r="O5" s="139" t="s">
        <v>244</v>
      </c>
      <c r="P5" s="225" t="s">
        <v>245</v>
      </c>
      <c r="Q5" s="139" t="s">
        <v>241</v>
      </c>
      <c r="R5" s="298" t="s">
        <v>355</v>
      </c>
      <c r="S5" s="139" t="s">
        <v>237</v>
      </c>
      <c r="T5" s="139" t="s">
        <v>242</v>
      </c>
      <c r="U5" s="225" t="s">
        <v>243</v>
      </c>
      <c r="V5" s="139" t="s">
        <v>240</v>
      </c>
      <c r="W5" s="139" t="s">
        <v>238</v>
      </c>
      <c r="X5" s="225" t="s">
        <v>239</v>
      </c>
      <c r="Y5" s="139" t="s">
        <v>244</v>
      </c>
      <c r="Z5" s="225" t="s">
        <v>245</v>
      </c>
      <c r="AA5" s="139" t="s">
        <v>241</v>
      </c>
      <c r="AB5" s="298" t="s">
        <v>355</v>
      </c>
      <c r="AD5" t="s">
        <v>45</v>
      </c>
      <c r="AE5" t="s">
        <v>48</v>
      </c>
      <c r="AG5" t="s">
        <v>48</v>
      </c>
      <c r="AH5" t="s">
        <v>361</v>
      </c>
      <c r="AL5" t="s">
        <v>48</v>
      </c>
      <c r="AM5" t="s">
        <v>361</v>
      </c>
      <c r="AO5" t="s">
        <v>48</v>
      </c>
      <c r="AP5" t="s">
        <v>361</v>
      </c>
      <c r="AR5" t="s">
        <v>48</v>
      </c>
      <c r="AS5" t="s">
        <v>397</v>
      </c>
      <c r="AW5" t="s">
        <v>48</v>
      </c>
      <c r="AX5" t="s">
        <v>361</v>
      </c>
    </row>
    <row r="6" spans="1:50" x14ac:dyDescent="0.25">
      <c r="A6" s="17" t="s">
        <v>0</v>
      </c>
      <c r="B6" s="34">
        <v>73</v>
      </c>
      <c r="C6" s="34">
        <v>22</v>
      </c>
      <c r="D6" s="226">
        <v>0.30136986301369861</v>
      </c>
      <c r="E6" s="34">
        <v>10</v>
      </c>
      <c r="F6" s="226">
        <v>0.13698630136986301</v>
      </c>
      <c r="G6" s="34">
        <v>3</v>
      </c>
      <c r="H6" s="226">
        <v>0.3</v>
      </c>
      <c r="I6" s="34">
        <v>71</v>
      </c>
      <c r="J6" s="34">
        <v>24</v>
      </c>
      <c r="K6" s="226">
        <v>0.3380281690140845</v>
      </c>
      <c r="L6" s="34">
        <v>7</v>
      </c>
      <c r="M6" s="34">
        <v>9</v>
      </c>
      <c r="N6" s="226">
        <v>0.12676056338028169</v>
      </c>
      <c r="O6" s="34">
        <v>7</v>
      </c>
      <c r="P6" s="226">
        <v>0.77777777777777779</v>
      </c>
      <c r="Q6" s="34">
        <v>2</v>
      </c>
      <c r="R6" s="299">
        <v>9.8591549295774641E-2</v>
      </c>
      <c r="S6" s="132">
        <v>68</v>
      </c>
      <c r="T6" s="132">
        <v>32</v>
      </c>
      <c r="U6" s="343">
        <f>T6/S6</f>
        <v>0.47058823529411764</v>
      </c>
      <c r="V6" s="132">
        <v>6</v>
      </c>
      <c r="W6" s="132">
        <v>9</v>
      </c>
      <c r="X6" s="343">
        <f t="shared" ref="X6:X51" si="0">W6/S6</f>
        <v>0.13235294117647059</v>
      </c>
      <c r="Y6" s="132">
        <v>7</v>
      </c>
      <c r="Z6" s="343">
        <f>Y6/W6</f>
        <v>0.77777777777777779</v>
      </c>
      <c r="AA6" s="132">
        <v>2</v>
      </c>
      <c r="AB6" s="343">
        <f>V6/S6</f>
        <v>8.8235294117647065E-2</v>
      </c>
      <c r="AC6" s="214" t="str">
        <f>IF(AD6=A6,"OK","No")</f>
        <v>OK</v>
      </c>
      <c r="AD6" t="s">
        <v>0</v>
      </c>
      <c r="AE6">
        <v>68</v>
      </c>
      <c r="AG6">
        <v>32</v>
      </c>
      <c r="AH6">
        <v>0.47058823529411764</v>
      </c>
      <c r="AJ6">
        <v>12.343916196615632</v>
      </c>
      <c r="AL6">
        <v>6</v>
      </c>
      <c r="AM6">
        <v>8.8235294117647065E-2</v>
      </c>
      <c r="AO6">
        <v>9</v>
      </c>
      <c r="AP6">
        <v>0.13235294117647059</v>
      </c>
      <c r="AR6">
        <v>7</v>
      </c>
      <c r="AS6">
        <v>0.77777777777777779</v>
      </c>
      <c r="AU6">
        <v>9.8106544901065398</v>
      </c>
      <c r="AW6">
        <v>2</v>
      </c>
      <c r="AX6">
        <v>2.9411764705882353E-2</v>
      </c>
    </row>
    <row r="7" spans="1:50" x14ac:dyDescent="0.25">
      <c r="A7" s="17" t="s">
        <v>26</v>
      </c>
      <c r="B7" s="34">
        <v>485</v>
      </c>
      <c r="C7" s="34">
        <v>161</v>
      </c>
      <c r="D7" s="226">
        <v>0.33195876288659792</v>
      </c>
      <c r="E7" s="34"/>
      <c r="F7" s="226">
        <v>0</v>
      </c>
      <c r="G7" s="34"/>
      <c r="H7" s="226" t="e">
        <v>#DIV/0!</v>
      </c>
      <c r="I7" s="34">
        <v>510</v>
      </c>
      <c r="J7" s="34">
        <v>142</v>
      </c>
      <c r="K7" s="226">
        <v>0.27843137254901962</v>
      </c>
      <c r="L7" s="34">
        <v>378</v>
      </c>
      <c r="M7" s="34"/>
      <c r="N7" s="226">
        <v>0</v>
      </c>
      <c r="O7" s="34"/>
      <c r="P7" s="226"/>
      <c r="Q7" s="34"/>
      <c r="R7" s="299">
        <v>0.74117647058823533</v>
      </c>
      <c r="S7" s="132">
        <v>617</v>
      </c>
      <c r="T7" s="132">
        <v>155</v>
      </c>
      <c r="U7" s="343">
        <f t="shared" ref="U7:U51" si="1">T7/S7</f>
        <v>0.25121555915721233</v>
      </c>
      <c r="V7" s="132">
        <v>353</v>
      </c>
      <c r="W7" s="132"/>
      <c r="X7" s="343">
        <f t="shared" si="0"/>
        <v>0</v>
      </c>
      <c r="Y7" s="132"/>
      <c r="Z7" s="343"/>
      <c r="AA7" s="132"/>
      <c r="AB7" s="343">
        <f t="shared" ref="AB7:AB51" si="2">V7/S7</f>
        <v>0.57212317666126422</v>
      </c>
      <c r="AC7" s="214" t="str">
        <f t="shared" ref="AC7:AC51" si="3">IF(AD7=A7,"OK","No")</f>
        <v>OK</v>
      </c>
      <c r="AD7" t="s">
        <v>26</v>
      </c>
      <c r="AE7">
        <v>617</v>
      </c>
      <c r="AG7">
        <v>155</v>
      </c>
      <c r="AH7">
        <v>0.25121555915721233</v>
      </c>
      <c r="AJ7">
        <v>7.3735618658555495</v>
      </c>
      <c r="AL7">
        <v>353</v>
      </c>
      <c r="AM7">
        <v>0.57212317666126422</v>
      </c>
    </row>
    <row r="8" spans="1:50" x14ac:dyDescent="0.25">
      <c r="A8" s="17" t="s">
        <v>1</v>
      </c>
      <c r="B8" s="34">
        <v>4251</v>
      </c>
      <c r="C8" s="34">
        <v>1535</v>
      </c>
      <c r="D8" s="226">
        <v>0.36109150788049871</v>
      </c>
      <c r="E8" s="34">
        <v>1674</v>
      </c>
      <c r="F8" s="226">
        <v>0.39378969654199014</v>
      </c>
      <c r="G8" s="34">
        <v>545</v>
      </c>
      <c r="H8" s="226">
        <v>0.32556750298685783</v>
      </c>
      <c r="I8" s="34">
        <v>4534</v>
      </c>
      <c r="J8" s="34">
        <v>1784</v>
      </c>
      <c r="K8" s="226">
        <v>0.39347154830172032</v>
      </c>
      <c r="L8" s="34">
        <v>876</v>
      </c>
      <c r="M8" s="34">
        <v>1726</v>
      </c>
      <c r="N8" s="226">
        <v>0.38067931186590209</v>
      </c>
      <c r="O8" s="34">
        <v>558</v>
      </c>
      <c r="P8" s="226">
        <v>0.32329084588644263</v>
      </c>
      <c r="Q8" s="34">
        <v>267</v>
      </c>
      <c r="R8" s="299">
        <v>0.19320688134097927</v>
      </c>
      <c r="S8" s="132">
        <v>4955</v>
      </c>
      <c r="T8" s="132">
        <v>2192</v>
      </c>
      <c r="U8" s="343">
        <f t="shared" si="1"/>
        <v>0.44238143289606457</v>
      </c>
      <c r="V8" s="132">
        <v>842</v>
      </c>
      <c r="W8" s="132">
        <v>1944</v>
      </c>
      <c r="X8" s="343">
        <f t="shared" si="0"/>
        <v>0.39233097880928353</v>
      </c>
      <c r="Y8" s="132">
        <v>734</v>
      </c>
      <c r="Z8" s="343">
        <f t="shared" ref="Z8:Z51" si="4">Y8/W8</f>
        <v>0.37757201646090532</v>
      </c>
      <c r="AA8" s="132">
        <v>281</v>
      </c>
      <c r="AB8" s="343">
        <f t="shared" si="2"/>
        <v>0.16992936427850655</v>
      </c>
      <c r="AC8" s="214" t="str">
        <f t="shared" si="3"/>
        <v>OK</v>
      </c>
      <c r="AD8" t="s">
        <v>1</v>
      </c>
      <c r="AE8">
        <v>4955</v>
      </c>
      <c r="AG8">
        <v>2192</v>
      </c>
      <c r="AH8">
        <v>0.44238143289606457</v>
      </c>
      <c r="AJ8">
        <v>9.9433852618774647</v>
      </c>
      <c r="AL8">
        <v>842</v>
      </c>
      <c r="AM8">
        <v>0.16992936427850655</v>
      </c>
      <c r="AO8">
        <v>1944</v>
      </c>
      <c r="AP8">
        <v>0.39233097880928353</v>
      </c>
      <c r="AR8">
        <v>734</v>
      </c>
      <c r="AS8">
        <v>0.37757201646090532</v>
      </c>
      <c r="AU8">
        <v>8.8412565533570344</v>
      </c>
      <c r="AW8">
        <v>281</v>
      </c>
      <c r="AX8">
        <v>5.6710393541876895E-2</v>
      </c>
    </row>
    <row r="9" spans="1:50" x14ac:dyDescent="0.25">
      <c r="A9" s="17" t="s">
        <v>2</v>
      </c>
      <c r="B9" s="34">
        <v>2570</v>
      </c>
      <c r="C9" s="34">
        <v>1126</v>
      </c>
      <c r="D9" s="226">
        <v>0.43813229571984436</v>
      </c>
      <c r="E9" s="34">
        <v>864</v>
      </c>
      <c r="F9" s="226">
        <v>0.33618677042801559</v>
      </c>
      <c r="G9" s="34">
        <v>280</v>
      </c>
      <c r="H9" s="226">
        <v>0.32407407407407407</v>
      </c>
      <c r="I9" s="34">
        <v>2902</v>
      </c>
      <c r="J9" s="34">
        <v>1182</v>
      </c>
      <c r="K9" s="226">
        <v>0.40730530668504478</v>
      </c>
      <c r="L9" s="34">
        <v>1167</v>
      </c>
      <c r="M9" s="34">
        <v>906</v>
      </c>
      <c r="N9" s="226">
        <v>0.3121984838042729</v>
      </c>
      <c r="O9" s="34">
        <v>271</v>
      </c>
      <c r="P9" s="226">
        <v>0.29911699779249445</v>
      </c>
      <c r="Q9" s="34">
        <v>484</v>
      </c>
      <c r="R9" s="299">
        <v>0.40213645761543765</v>
      </c>
      <c r="S9" s="132">
        <v>3007</v>
      </c>
      <c r="T9" s="132">
        <v>1268</v>
      </c>
      <c r="U9" s="343">
        <f t="shared" si="1"/>
        <v>0.42168274027269703</v>
      </c>
      <c r="V9" s="132">
        <v>96</v>
      </c>
      <c r="W9" s="132">
        <v>947</v>
      </c>
      <c r="X9" s="343">
        <f t="shared" si="0"/>
        <v>0.31493182573994016</v>
      </c>
      <c r="Y9" s="132">
        <v>297</v>
      </c>
      <c r="Z9" s="343">
        <f t="shared" si="4"/>
        <v>0.31362196409714888</v>
      </c>
      <c r="AA9" s="132">
        <v>33</v>
      </c>
      <c r="AB9" s="343">
        <f t="shared" si="2"/>
        <v>3.1925507149983372E-2</v>
      </c>
      <c r="AC9" s="214" t="str">
        <f t="shared" si="3"/>
        <v>OK</v>
      </c>
      <c r="AD9" t="s">
        <v>2</v>
      </c>
      <c r="AE9">
        <v>3007</v>
      </c>
      <c r="AG9">
        <v>1268</v>
      </c>
      <c r="AH9">
        <v>0.42168274027269703</v>
      </c>
      <c r="AJ9">
        <v>10.09006382368073</v>
      </c>
      <c r="AL9">
        <v>96</v>
      </c>
      <c r="AM9">
        <v>3.1925507149983372E-2</v>
      </c>
      <c r="AO9">
        <v>947</v>
      </c>
      <c r="AP9">
        <v>0.31493182573994016</v>
      </c>
      <c r="AR9">
        <v>297</v>
      </c>
      <c r="AS9">
        <v>0.31362196409714888</v>
      </c>
      <c r="AU9">
        <v>8.1449074944670112</v>
      </c>
      <c r="AW9">
        <v>33</v>
      </c>
      <c r="AX9">
        <v>1.0974393082806785E-2</v>
      </c>
    </row>
    <row r="10" spans="1:50" x14ac:dyDescent="0.25">
      <c r="A10" s="17" t="s">
        <v>3</v>
      </c>
      <c r="B10" s="34">
        <v>334</v>
      </c>
      <c r="C10" s="34">
        <v>134</v>
      </c>
      <c r="D10" s="226">
        <v>0.40119760479041916</v>
      </c>
      <c r="E10" s="34">
        <v>121</v>
      </c>
      <c r="F10" s="226">
        <v>0.36227544910179643</v>
      </c>
      <c r="G10" s="34">
        <v>32</v>
      </c>
      <c r="H10" s="226">
        <v>0.26446280991735538</v>
      </c>
      <c r="I10" s="34">
        <v>359</v>
      </c>
      <c r="J10" s="34">
        <v>156</v>
      </c>
      <c r="K10" s="226">
        <v>0.43454038997214484</v>
      </c>
      <c r="L10" s="34">
        <v>26</v>
      </c>
      <c r="M10" s="34">
        <v>129</v>
      </c>
      <c r="N10" s="226">
        <v>0.35933147632311979</v>
      </c>
      <c r="O10" s="34">
        <v>46</v>
      </c>
      <c r="P10" s="226">
        <v>0.35658914728682173</v>
      </c>
      <c r="Q10" s="34">
        <v>3</v>
      </c>
      <c r="R10" s="299">
        <v>7.2423398328690811E-2</v>
      </c>
      <c r="S10" s="132">
        <v>377</v>
      </c>
      <c r="T10" s="132">
        <v>172</v>
      </c>
      <c r="U10" s="343">
        <f t="shared" si="1"/>
        <v>0.45623342175066312</v>
      </c>
      <c r="V10" s="132">
        <v>23</v>
      </c>
      <c r="W10" s="132">
        <v>143</v>
      </c>
      <c r="X10" s="343">
        <f t="shared" si="0"/>
        <v>0.37931034482758619</v>
      </c>
      <c r="Y10" s="132">
        <v>52</v>
      </c>
      <c r="Z10" s="343">
        <f t="shared" si="4"/>
        <v>0.36363636363636365</v>
      </c>
      <c r="AA10" s="132">
        <v>3</v>
      </c>
      <c r="AB10" s="343">
        <f t="shared" si="2"/>
        <v>6.1007957559681698E-2</v>
      </c>
      <c r="AC10" s="214" t="str">
        <f t="shared" si="3"/>
        <v>OK</v>
      </c>
      <c r="AD10" t="s">
        <v>3</v>
      </c>
      <c r="AE10">
        <v>377</v>
      </c>
      <c r="AG10">
        <v>172</v>
      </c>
      <c r="AH10">
        <v>0.45623342175066312</v>
      </c>
      <c r="AJ10">
        <v>10.401504305802835</v>
      </c>
      <c r="AL10">
        <v>23</v>
      </c>
      <c r="AM10">
        <v>6.1007957559681698E-2</v>
      </c>
      <c r="AO10">
        <v>143</v>
      </c>
      <c r="AP10">
        <v>0.37931034482758619</v>
      </c>
      <c r="AR10">
        <v>52</v>
      </c>
      <c r="AS10">
        <v>0.36363636363636365</v>
      </c>
      <c r="AU10">
        <v>8.8488935721812396</v>
      </c>
      <c r="AW10">
        <v>3</v>
      </c>
      <c r="AX10">
        <v>7.9575596816976128E-3</v>
      </c>
    </row>
    <row r="11" spans="1:50" x14ac:dyDescent="0.25">
      <c r="A11" s="17" t="s">
        <v>33</v>
      </c>
      <c r="B11" s="34">
        <v>44</v>
      </c>
      <c r="C11" s="34">
        <v>15</v>
      </c>
      <c r="D11" s="226">
        <v>0.34090909090909088</v>
      </c>
      <c r="E11" s="34">
        <v>3</v>
      </c>
      <c r="F11" s="226">
        <v>6.8181818181818177E-2</v>
      </c>
      <c r="G11" s="34">
        <v>2</v>
      </c>
      <c r="H11" s="226">
        <v>0.66666666666666663</v>
      </c>
      <c r="I11" s="34">
        <v>36</v>
      </c>
      <c r="J11" s="34">
        <v>13</v>
      </c>
      <c r="K11" s="226">
        <v>0.3611111111111111</v>
      </c>
      <c r="L11" s="34">
        <v>2</v>
      </c>
      <c r="M11" s="34">
        <v>1</v>
      </c>
      <c r="N11" s="226">
        <v>2.7777777777777776E-2</v>
      </c>
      <c r="O11" s="34"/>
      <c r="P11" s="226">
        <v>0</v>
      </c>
      <c r="Q11" s="34"/>
      <c r="R11" s="299">
        <v>5.5555555555555552E-2</v>
      </c>
      <c r="S11" s="132">
        <v>36</v>
      </c>
      <c r="T11" s="132">
        <v>16</v>
      </c>
      <c r="U11" s="343">
        <f t="shared" si="1"/>
        <v>0.44444444444444442</v>
      </c>
      <c r="V11" s="132">
        <v>2</v>
      </c>
      <c r="W11" s="132">
        <v>1</v>
      </c>
      <c r="X11" s="343">
        <f t="shared" si="0"/>
        <v>2.7777777777777776E-2</v>
      </c>
      <c r="Y11" s="132"/>
      <c r="Z11" s="343">
        <f t="shared" si="4"/>
        <v>0</v>
      </c>
      <c r="AA11" s="132"/>
      <c r="AB11" s="343">
        <f t="shared" si="2"/>
        <v>5.5555555555555552E-2</v>
      </c>
      <c r="AC11" s="214" t="str">
        <f t="shared" si="3"/>
        <v>OK</v>
      </c>
      <c r="AD11" t="s">
        <v>33</v>
      </c>
      <c r="AE11">
        <v>36</v>
      </c>
      <c r="AG11">
        <v>16</v>
      </c>
      <c r="AH11">
        <v>0.44444444444444442</v>
      </c>
      <c r="AJ11">
        <v>9.4190258751902789</v>
      </c>
      <c r="AL11">
        <v>2</v>
      </c>
      <c r="AM11">
        <v>5.5555555555555552E-2</v>
      </c>
      <c r="AO11">
        <v>1</v>
      </c>
      <c r="AP11">
        <v>2.7777777777777776E-2</v>
      </c>
      <c r="AU11">
        <v>9.0547945205479508</v>
      </c>
    </row>
    <row r="12" spans="1:50" x14ac:dyDescent="0.25">
      <c r="A12" s="17" t="s">
        <v>23</v>
      </c>
      <c r="B12" s="34">
        <v>85</v>
      </c>
      <c r="C12" s="34"/>
      <c r="D12" s="226">
        <v>0</v>
      </c>
      <c r="E12" s="34">
        <v>82</v>
      </c>
      <c r="F12" s="226">
        <v>0.96470588235294119</v>
      </c>
      <c r="G12" s="34"/>
      <c r="H12" s="226">
        <v>0</v>
      </c>
      <c r="I12" s="34">
        <v>92</v>
      </c>
      <c r="J12" s="34"/>
      <c r="K12" s="226">
        <v>0</v>
      </c>
      <c r="L12" s="34">
        <v>87</v>
      </c>
      <c r="M12" s="34">
        <v>82</v>
      </c>
      <c r="N12" s="226">
        <v>0.89130434782608692</v>
      </c>
      <c r="O12" s="34"/>
      <c r="P12" s="226">
        <v>0</v>
      </c>
      <c r="Q12" s="34">
        <v>81</v>
      </c>
      <c r="R12" s="299">
        <v>0.94565217391304346</v>
      </c>
      <c r="S12" s="132">
        <v>98</v>
      </c>
      <c r="T12" s="132"/>
      <c r="U12" s="343">
        <f t="shared" si="1"/>
        <v>0</v>
      </c>
      <c r="V12" s="132"/>
      <c r="W12" s="132">
        <v>82</v>
      </c>
      <c r="X12" s="343">
        <f t="shared" si="0"/>
        <v>0.83673469387755106</v>
      </c>
      <c r="Y12" s="132"/>
      <c r="Z12" s="343">
        <f t="shared" si="4"/>
        <v>0</v>
      </c>
      <c r="AA12" s="132"/>
      <c r="AB12" s="343">
        <f t="shared" si="2"/>
        <v>0</v>
      </c>
      <c r="AC12" s="214" t="str">
        <f t="shared" si="3"/>
        <v>OK</v>
      </c>
      <c r="AD12" t="s">
        <v>23</v>
      </c>
      <c r="AE12">
        <v>98</v>
      </c>
      <c r="AJ12">
        <v>6.6432485322896344</v>
      </c>
      <c r="AO12">
        <v>82</v>
      </c>
      <c r="AP12">
        <v>0.83673469387755106</v>
      </c>
      <c r="AU12">
        <v>7.6136986301369927</v>
      </c>
    </row>
    <row r="13" spans="1:50" x14ac:dyDescent="0.25">
      <c r="A13" s="17" t="s">
        <v>4</v>
      </c>
      <c r="B13" s="34">
        <v>52</v>
      </c>
      <c r="C13" s="34">
        <v>16</v>
      </c>
      <c r="D13" s="226">
        <v>0.30769230769230771</v>
      </c>
      <c r="E13" s="34"/>
      <c r="F13" s="226">
        <v>0</v>
      </c>
      <c r="G13" s="34"/>
      <c r="H13" s="226" t="e">
        <v>#DIV/0!</v>
      </c>
      <c r="I13" s="34">
        <v>51</v>
      </c>
      <c r="J13" s="34">
        <v>16</v>
      </c>
      <c r="K13" s="226">
        <v>0.31372549019607843</v>
      </c>
      <c r="L13" s="34">
        <v>24</v>
      </c>
      <c r="M13" s="34"/>
      <c r="N13" s="226">
        <v>0</v>
      </c>
      <c r="O13" s="34"/>
      <c r="P13" s="226"/>
      <c r="Q13" s="34"/>
      <c r="R13" s="299">
        <v>0.47058823529411764</v>
      </c>
      <c r="S13" s="132">
        <v>53</v>
      </c>
      <c r="T13" s="132">
        <v>18</v>
      </c>
      <c r="U13" s="343">
        <f t="shared" si="1"/>
        <v>0.33962264150943394</v>
      </c>
      <c r="V13" s="132">
        <v>21</v>
      </c>
      <c r="W13" s="132"/>
      <c r="X13" s="343">
        <f t="shared" si="0"/>
        <v>0</v>
      </c>
      <c r="Y13" s="132"/>
      <c r="Z13" s="343"/>
      <c r="AA13" s="132"/>
      <c r="AB13" s="343">
        <f t="shared" si="2"/>
        <v>0.39622641509433965</v>
      </c>
      <c r="AC13" s="214" t="str">
        <f t="shared" si="3"/>
        <v>OK</v>
      </c>
      <c r="AD13" t="s">
        <v>4</v>
      </c>
      <c r="AE13">
        <v>53</v>
      </c>
      <c r="AG13">
        <v>18</v>
      </c>
      <c r="AH13">
        <v>0.33962264150943394</v>
      </c>
      <c r="AJ13">
        <v>8.0949599379684649</v>
      </c>
      <c r="AL13">
        <v>21</v>
      </c>
      <c r="AM13">
        <v>0.39622641509433965</v>
      </c>
    </row>
    <row r="14" spans="1:50" x14ac:dyDescent="0.25">
      <c r="A14" s="17" t="s">
        <v>28</v>
      </c>
      <c r="B14" s="34">
        <v>1788</v>
      </c>
      <c r="C14" s="34">
        <v>234</v>
      </c>
      <c r="D14" s="226">
        <v>0.13087248322147652</v>
      </c>
      <c r="E14" s="34">
        <v>4</v>
      </c>
      <c r="F14" s="226">
        <v>2.2371364653243847E-3</v>
      </c>
      <c r="G14" s="34">
        <v>1</v>
      </c>
      <c r="H14" s="226">
        <v>0.25</v>
      </c>
      <c r="I14" s="34">
        <v>1698</v>
      </c>
      <c r="J14" s="34">
        <v>240</v>
      </c>
      <c r="K14" s="226">
        <v>0.14134275618374559</v>
      </c>
      <c r="L14" s="34">
        <v>275</v>
      </c>
      <c r="M14" s="34">
        <v>5</v>
      </c>
      <c r="N14" s="226">
        <v>2.9446407538280331E-3</v>
      </c>
      <c r="O14" s="34"/>
      <c r="P14" s="226">
        <v>0</v>
      </c>
      <c r="Q14" s="34">
        <v>4</v>
      </c>
      <c r="R14" s="299">
        <v>0.16195524146054183</v>
      </c>
      <c r="S14" s="132">
        <v>1915</v>
      </c>
      <c r="T14" s="132">
        <v>274</v>
      </c>
      <c r="U14" s="343">
        <f t="shared" si="1"/>
        <v>0.14308093994778068</v>
      </c>
      <c r="V14" s="132">
        <v>263</v>
      </c>
      <c r="W14" s="132">
        <v>5</v>
      </c>
      <c r="X14" s="343">
        <f t="shared" si="0"/>
        <v>2.6109660574412533E-3</v>
      </c>
      <c r="Y14" s="132"/>
      <c r="Z14" s="343">
        <f t="shared" si="4"/>
        <v>0</v>
      </c>
      <c r="AA14" s="132">
        <v>5</v>
      </c>
      <c r="AB14" s="343">
        <f t="shared" si="2"/>
        <v>0.13733681462140993</v>
      </c>
      <c r="AC14" s="214" t="str">
        <f t="shared" si="3"/>
        <v>OK</v>
      </c>
      <c r="AD14" t="s">
        <v>28</v>
      </c>
      <c r="AE14">
        <v>1915</v>
      </c>
      <c r="AG14">
        <v>274</v>
      </c>
      <c r="AH14">
        <v>0.14308093994778068</v>
      </c>
      <c r="AJ14">
        <v>5.2895740190994012</v>
      </c>
      <c r="AL14">
        <v>263</v>
      </c>
      <c r="AM14">
        <v>0.13733681462140993</v>
      </c>
      <c r="AO14">
        <v>5</v>
      </c>
      <c r="AP14">
        <v>2.6109660574412533E-3</v>
      </c>
      <c r="AU14">
        <v>6.5901369863013697</v>
      </c>
      <c r="AW14">
        <v>5</v>
      </c>
      <c r="AX14">
        <v>2.6109660574412533E-3</v>
      </c>
    </row>
    <row r="15" spans="1:50" x14ac:dyDescent="0.25">
      <c r="A15" s="17" t="s">
        <v>29</v>
      </c>
      <c r="B15" s="34">
        <v>61</v>
      </c>
      <c r="C15" s="34">
        <v>23</v>
      </c>
      <c r="D15" s="226">
        <v>0.37704918032786883</v>
      </c>
      <c r="E15" s="34"/>
      <c r="F15" s="226">
        <v>0</v>
      </c>
      <c r="G15" s="34"/>
      <c r="H15" s="226" t="e">
        <v>#DIV/0!</v>
      </c>
      <c r="I15" s="34">
        <v>57</v>
      </c>
      <c r="J15" s="34">
        <v>22</v>
      </c>
      <c r="K15" s="226">
        <v>0.38596491228070173</v>
      </c>
      <c r="L15" s="34">
        <v>19</v>
      </c>
      <c r="M15" s="34"/>
      <c r="N15" s="226">
        <v>0</v>
      </c>
      <c r="O15" s="34"/>
      <c r="P15" s="226"/>
      <c r="Q15" s="34"/>
      <c r="R15" s="299">
        <v>0.33333333333333331</v>
      </c>
      <c r="S15" s="132">
        <v>70</v>
      </c>
      <c r="T15" s="132">
        <v>22</v>
      </c>
      <c r="U15" s="343">
        <f t="shared" si="1"/>
        <v>0.31428571428571428</v>
      </c>
      <c r="V15" s="132">
        <v>2</v>
      </c>
      <c r="W15" s="132"/>
      <c r="X15" s="343">
        <f t="shared" si="0"/>
        <v>0</v>
      </c>
      <c r="Y15" s="132"/>
      <c r="Z15" s="343"/>
      <c r="AA15" s="132"/>
      <c r="AB15" s="343">
        <f t="shared" si="2"/>
        <v>2.8571428571428571E-2</v>
      </c>
      <c r="AC15" s="214" t="str">
        <f t="shared" si="3"/>
        <v>OK</v>
      </c>
      <c r="AD15" t="s">
        <v>29</v>
      </c>
      <c r="AE15">
        <v>70</v>
      </c>
      <c r="AG15">
        <v>22</v>
      </c>
      <c r="AH15">
        <v>0.31428571428571428</v>
      </c>
      <c r="AJ15">
        <v>9.2270058708414844</v>
      </c>
      <c r="AL15">
        <v>2</v>
      </c>
      <c r="AM15">
        <v>2.8571428571428571E-2</v>
      </c>
    </row>
    <row r="16" spans="1:50" x14ac:dyDescent="0.25">
      <c r="A16" s="17" t="s">
        <v>5</v>
      </c>
      <c r="B16" s="34">
        <v>8</v>
      </c>
      <c r="C16" s="34">
        <v>6</v>
      </c>
      <c r="D16" s="226">
        <v>0.75</v>
      </c>
      <c r="E16" s="34">
        <v>2</v>
      </c>
      <c r="F16" s="226">
        <v>0.25</v>
      </c>
      <c r="G16" s="34">
        <v>1</v>
      </c>
      <c r="H16" s="226">
        <v>0.5</v>
      </c>
      <c r="I16" s="34">
        <v>7</v>
      </c>
      <c r="J16" s="34">
        <v>6</v>
      </c>
      <c r="K16" s="226">
        <v>0.8571428571428571</v>
      </c>
      <c r="L16" s="34">
        <v>6</v>
      </c>
      <c r="M16" s="34">
        <v>1</v>
      </c>
      <c r="N16" s="226">
        <v>0.14285714285714285</v>
      </c>
      <c r="O16" s="34"/>
      <c r="P16" s="226">
        <v>0</v>
      </c>
      <c r="Q16" s="34"/>
      <c r="R16" s="299">
        <v>0.8571428571428571</v>
      </c>
      <c r="S16" s="132">
        <v>7</v>
      </c>
      <c r="T16" s="132">
        <v>6</v>
      </c>
      <c r="U16" s="343">
        <f t="shared" si="1"/>
        <v>0.8571428571428571</v>
      </c>
      <c r="V16" s="132">
        <v>6</v>
      </c>
      <c r="W16" s="132">
        <v>1</v>
      </c>
      <c r="X16" s="343">
        <f t="shared" si="0"/>
        <v>0.14285714285714285</v>
      </c>
      <c r="Y16" s="132"/>
      <c r="Z16" s="343">
        <f t="shared" si="4"/>
        <v>0</v>
      </c>
      <c r="AA16" s="132"/>
      <c r="AB16" s="343">
        <f t="shared" si="2"/>
        <v>0.8571428571428571</v>
      </c>
      <c r="AC16" s="214" t="str">
        <f t="shared" si="3"/>
        <v>OK</v>
      </c>
      <c r="AD16" t="s">
        <v>5</v>
      </c>
      <c r="AE16">
        <v>7</v>
      </c>
      <c r="AG16">
        <v>6</v>
      </c>
      <c r="AH16">
        <v>0.8571428571428571</v>
      </c>
      <c r="AJ16">
        <v>11.816829745596859</v>
      </c>
      <c r="AL16">
        <v>6</v>
      </c>
      <c r="AM16">
        <v>0.8571428571428571</v>
      </c>
      <c r="AO16">
        <v>1</v>
      </c>
      <c r="AP16">
        <v>0.14285714285714285</v>
      </c>
      <c r="AU16">
        <v>8.2821917808219201</v>
      </c>
    </row>
    <row r="17" spans="1:50" x14ac:dyDescent="0.25">
      <c r="A17" s="17" t="s">
        <v>22</v>
      </c>
      <c r="B17" s="34"/>
      <c r="C17" s="34"/>
      <c r="D17" s="226" t="e">
        <v>#DIV/0!</v>
      </c>
      <c r="E17" s="34"/>
      <c r="F17" s="226" t="e">
        <v>#DIV/0!</v>
      </c>
      <c r="G17" s="34"/>
      <c r="H17" s="226" t="e">
        <v>#DIV/0!</v>
      </c>
      <c r="I17" s="34"/>
      <c r="J17" s="34"/>
      <c r="K17" s="226"/>
      <c r="L17" s="34"/>
      <c r="M17" s="34"/>
      <c r="N17" s="226"/>
      <c r="O17" s="34"/>
      <c r="P17" s="226"/>
      <c r="Q17" s="34"/>
      <c r="R17" s="299"/>
      <c r="S17" s="132"/>
      <c r="T17" s="132"/>
      <c r="U17" s="343"/>
      <c r="V17" s="132"/>
      <c r="W17" s="132"/>
      <c r="X17" s="343"/>
      <c r="Y17" s="132"/>
      <c r="Z17" s="343"/>
      <c r="AA17" s="132"/>
      <c r="AB17" s="343" t="e">
        <f t="shared" si="2"/>
        <v>#DIV/0!</v>
      </c>
      <c r="AC17" s="214" t="str">
        <f t="shared" si="3"/>
        <v>No</v>
      </c>
    </row>
    <row r="18" spans="1:50" x14ac:dyDescent="0.25">
      <c r="A18" s="17" t="s">
        <v>7</v>
      </c>
      <c r="B18" s="34">
        <v>158</v>
      </c>
      <c r="C18" s="34">
        <v>18</v>
      </c>
      <c r="D18" s="226">
        <v>0.11392405063291139</v>
      </c>
      <c r="E18" s="34">
        <v>36</v>
      </c>
      <c r="F18" s="226">
        <v>0.22784810126582278</v>
      </c>
      <c r="G18" s="34">
        <v>3</v>
      </c>
      <c r="H18" s="226">
        <v>8.3333333333333329E-2</v>
      </c>
      <c r="I18" s="34">
        <v>157</v>
      </c>
      <c r="J18" s="34">
        <v>23</v>
      </c>
      <c r="K18" s="226">
        <v>0.1464968152866242</v>
      </c>
      <c r="L18" s="34">
        <v>148</v>
      </c>
      <c r="M18" s="34">
        <v>37</v>
      </c>
      <c r="N18" s="226">
        <v>0.2356687898089172</v>
      </c>
      <c r="O18" s="34">
        <v>4</v>
      </c>
      <c r="P18" s="226">
        <v>0.10810810810810811</v>
      </c>
      <c r="Q18" s="34">
        <v>30</v>
      </c>
      <c r="R18" s="299">
        <v>0.9426751592356688</v>
      </c>
      <c r="S18" s="132">
        <v>178</v>
      </c>
      <c r="T18" s="132">
        <v>30</v>
      </c>
      <c r="U18" s="343">
        <f t="shared" si="1"/>
        <v>0.16853932584269662</v>
      </c>
      <c r="V18" s="132">
        <v>6</v>
      </c>
      <c r="W18" s="132">
        <v>43</v>
      </c>
      <c r="X18" s="343">
        <f t="shared" si="0"/>
        <v>0.24157303370786518</v>
      </c>
      <c r="Y18" s="132">
        <v>5</v>
      </c>
      <c r="Z18" s="343">
        <f t="shared" si="4"/>
        <v>0.11627906976744186</v>
      </c>
      <c r="AA18" s="132">
        <v>4</v>
      </c>
      <c r="AB18" s="343">
        <f t="shared" si="2"/>
        <v>3.3707865168539325E-2</v>
      </c>
      <c r="AC18" s="214" t="str">
        <f t="shared" si="3"/>
        <v>OK</v>
      </c>
      <c r="AD18" t="s">
        <v>7</v>
      </c>
      <c r="AE18">
        <v>178</v>
      </c>
      <c r="AG18">
        <v>30</v>
      </c>
      <c r="AH18">
        <v>0.16853932584269662</v>
      </c>
      <c r="AJ18">
        <v>6.6922425734954629</v>
      </c>
      <c r="AL18">
        <v>6</v>
      </c>
      <c r="AM18">
        <v>3.3707865168539325E-2</v>
      </c>
      <c r="AO18">
        <v>43</v>
      </c>
      <c r="AP18">
        <v>0.24157303370786518</v>
      </c>
      <c r="AR18">
        <v>5</v>
      </c>
      <c r="AS18">
        <v>0.11627906976744186</v>
      </c>
      <c r="AU18">
        <v>5.9526600828289258</v>
      </c>
      <c r="AW18">
        <v>4</v>
      </c>
      <c r="AX18">
        <v>2.247191011235955E-2</v>
      </c>
    </row>
    <row r="19" spans="1:50" x14ac:dyDescent="0.25">
      <c r="A19" s="17" t="s">
        <v>6</v>
      </c>
      <c r="B19" s="34">
        <v>31</v>
      </c>
      <c r="C19" s="34">
        <v>3</v>
      </c>
      <c r="D19" s="226">
        <v>9.6774193548387094E-2</v>
      </c>
      <c r="E19" s="34"/>
      <c r="F19" s="226">
        <v>0</v>
      </c>
      <c r="G19" s="34"/>
      <c r="H19" s="226" t="e">
        <v>#DIV/0!</v>
      </c>
      <c r="I19" s="34">
        <v>19</v>
      </c>
      <c r="J19" s="34">
        <v>1</v>
      </c>
      <c r="K19" s="226">
        <v>5.2631578947368418E-2</v>
      </c>
      <c r="L19" s="34"/>
      <c r="M19" s="34"/>
      <c r="N19" s="226">
        <v>0</v>
      </c>
      <c r="O19" s="34"/>
      <c r="P19" s="226"/>
      <c r="Q19" s="34"/>
      <c r="R19" s="299">
        <v>0</v>
      </c>
      <c r="S19" s="132">
        <v>24</v>
      </c>
      <c r="T19" s="132">
        <v>1</v>
      </c>
      <c r="U19" s="343">
        <f t="shared" si="1"/>
        <v>4.1666666666666664E-2</v>
      </c>
      <c r="V19" s="132"/>
      <c r="W19" s="132"/>
      <c r="X19" s="343">
        <f t="shared" si="0"/>
        <v>0</v>
      </c>
      <c r="Y19" s="132"/>
      <c r="Z19" s="343"/>
      <c r="AA19" s="132"/>
      <c r="AB19" s="343">
        <f t="shared" si="2"/>
        <v>0</v>
      </c>
      <c r="AC19" s="214" t="str">
        <f t="shared" si="3"/>
        <v>OK</v>
      </c>
      <c r="AD19" t="s">
        <v>6</v>
      </c>
      <c r="AE19">
        <v>24</v>
      </c>
      <c r="AG19">
        <v>1</v>
      </c>
      <c r="AH19">
        <v>4.1666666666666664E-2</v>
      </c>
      <c r="AJ19">
        <v>5.2638127853881258</v>
      </c>
    </row>
    <row r="20" spans="1:50" x14ac:dyDescent="0.25">
      <c r="A20" s="17" t="s">
        <v>30</v>
      </c>
      <c r="B20" s="34"/>
      <c r="C20" s="34"/>
      <c r="D20" s="226" t="e">
        <v>#DIV/0!</v>
      </c>
      <c r="E20" s="34"/>
      <c r="F20" s="226" t="e">
        <v>#DIV/0!</v>
      </c>
      <c r="G20" s="34"/>
      <c r="H20" s="226" t="e">
        <v>#DIV/0!</v>
      </c>
      <c r="I20" s="34"/>
      <c r="J20" s="34"/>
      <c r="K20" s="226"/>
      <c r="L20" s="34"/>
      <c r="M20" s="34"/>
      <c r="N20" s="226"/>
      <c r="O20" s="34"/>
      <c r="P20" s="226"/>
      <c r="Q20" s="34"/>
      <c r="R20" s="299"/>
      <c r="S20" s="132"/>
      <c r="T20" s="132"/>
      <c r="U20" s="343"/>
      <c r="V20" s="132"/>
      <c r="W20" s="132"/>
      <c r="X20" s="343"/>
      <c r="Y20" s="132"/>
      <c r="Z20" s="343"/>
      <c r="AA20" s="132"/>
      <c r="AB20" s="343"/>
      <c r="AC20" s="214" t="str">
        <f t="shared" si="3"/>
        <v>OK</v>
      </c>
      <c r="AD20" t="s">
        <v>30</v>
      </c>
      <c r="AM20" t="e">
        <v>#DIV/0!</v>
      </c>
    </row>
    <row r="21" spans="1:50" x14ac:dyDescent="0.25">
      <c r="A21" s="17" t="s">
        <v>8</v>
      </c>
      <c r="B21" s="34">
        <v>32</v>
      </c>
      <c r="C21" s="34">
        <v>15</v>
      </c>
      <c r="D21" s="226">
        <v>0.46875</v>
      </c>
      <c r="E21" s="34">
        <v>1</v>
      </c>
      <c r="F21" s="226">
        <v>3.125E-2</v>
      </c>
      <c r="G21" s="34">
        <v>1</v>
      </c>
      <c r="H21" s="226">
        <v>1</v>
      </c>
      <c r="I21" s="34">
        <v>34</v>
      </c>
      <c r="J21" s="34">
        <v>20</v>
      </c>
      <c r="K21" s="226">
        <v>0.58823529411764708</v>
      </c>
      <c r="L21" s="34"/>
      <c r="M21" s="34"/>
      <c r="N21" s="226">
        <v>0</v>
      </c>
      <c r="O21" s="34"/>
      <c r="P21" s="226"/>
      <c r="Q21" s="34"/>
      <c r="R21" s="299">
        <v>0</v>
      </c>
      <c r="S21" s="132">
        <v>31</v>
      </c>
      <c r="T21" s="132">
        <v>20</v>
      </c>
      <c r="U21" s="343">
        <f t="shared" si="1"/>
        <v>0.64516129032258063</v>
      </c>
      <c r="V21" s="132"/>
      <c r="W21" s="132"/>
      <c r="X21" s="343">
        <f t="shared" si="0"/>
        <v>0</v>
      </c>
      <c r="Y21" s="132"/>
      <c r="Z21" s="343"/>
      <c r="AA21" s="132"/>
      <c r="AB21" s="343">
        <f t="shared" si="2"/>
        <v>0</v>
      </c>
      <c r="AC21" s="214" t="str">
        <f t="shared" si="3"/>
        <v>OK</v>
      </c>
      <c r="AD21" t="s">
        <v>8</v>
      </c>
      <c r="AE21">
        <v>31</v>
      </c>
      <c r="AG21">
        <v>20</v>
      </c>
      <c r="AH21">
        <v>0.64516129032258063</v>
      </c>
      <c r="AJ21">
        <v>14.530181175430826</v>
      </c>
    </row>
    <row r="22" spans="1:50" x14ac:dyDescent="0.25">
      <c r="A22" s="17" t="s">
        <v>9</v>
      </c>
      <c r="B22" s="34">
        <v>455</v>
      </c>
      <c r="C22" s="34">
        <v>191</v>
      </c>
      <c r="D22" s="226">
        <v>0.41978021978021979</v>
      </c>
      <c r="E22" s="34">
        <v>122</v>
      </c>
      <c r="F22" s="226">
        <v>0.26813186813186812</v>
      </c>
      <c r="G22" s="34">
        <v>21</v>
      </c>
      <c r="H22" s="226">
        <v>0.1721311475409836</v>
      </c>
      <c r="I22" s="34">
        <v>490</v>
      </c>
      <c r="J22" s="34">
        <v>198</v>
      </c>
      <c r="K22" s="226">
        <v>0.40408163265306124</v>
      </c>
      <c r="L22" s="34">
        <v>386</v>
      </c>
      <c r="M22" s="34">
        <v>121</v>
      </c>
      <c r="N22" s="226">
        <v>0.24693877551020407</v>
      </c>
      <c r="O22" s="34">
        <v>19</v>
      </c>
      <c r="P22" s="226">
        <v>0.15702479338842976</v>
      </c>
      <c r="Q22" s="34">
        <v>101</v>
      </c>
      <c r="R22" s="299">
        <v>0.78775510204081634</v>
      </c>
      <c r="S22" s="132">
        <v>518</v>
      </c>
      <c r="T22" s="132">
        <v>211</v>
      </c>
      <c r="U22" s="343">
        <f t="shared" si="1"/>
        <v>0.40733590733590735</v>
      </c>
      <c r="V22" s="132">
        <v>2</v>
      </c>
      <c r="W22" s="132">
        <v>128</v>
      </c>
      <c r="X22" s="343">
        <f t="shared" si="0"/>
        <v>0.24710424710424711</v>
      </c>
      <c r="Y22" s="132">
        <v>28</v>
      </c>
      <c r="Z22" s="343">
        <f t="shared" si="4"/>
        <v>0.21875</v>
      </c>
      <c r="AA22" s="132"/>
      <c r="AB22" s="343">
        <f t="shared" si="2"/>
        <v>3.8610038610038611E-3</v>
      </c>
      <c r="AC22" s="214" t="str">
        <f t="shared" si="3"/>
        <v>OK</v>
      </c>
      <c r="AD22" t="s">
        <v>9</v>
      </c>
      <c r="AE22">
        <v>518</v>
      </c>
      <c r="AG22">
        <v>211</v>
      </c>
      <c r="AH22">
        <v>0.40733590733590735</v>
      </c>
      <c r="AJ22">
        <v>7.8885174802983231</v>
      </c>
      <c r="AL22">
        <v>2</v>
      </c>
      <c r="AM22">
        <v>3.8610038610038611E-3</v>
      </c>
      <c r="AO22">
        <v>128</v>
      </c>
      <c r="AP22">
        <v>0.24710424710424711</v>
      </c>
      <c r="AR22">
        <v>28</v>
      </c>
      <c r="AS22">
        <v>0.21875</v>
      </c>
      <c r="AU22">
        <v>6.5483732876712333</v>
      </c>
    </row>
    <row r="23" spans="1:50" x14ac:dyDescent="0.25">
      <c r="A23" s="17" t="s">
        <v>24</v>
      </c>
      <c r="B23" s="34">
        <v>6861</v>
      </c>
      <c r="C23" s="34">
        <v>2996</v>
      </c>
      <c r="D23" s="226">
        <v>0.43667103920711264</v>
      </c>
      <c r="E23" s="34">
        <v>1799</v>
      </c>
      <c r="F23" s="226">
        <v>0.26220667541174758</v>
      </c>
      <c r="G23" s="34">
        <v>736</v>
      </c>
      <c r="H23" s="226">
        <v>0.40911617565314062</v>
      </c>
      <c r="I23" s="34">
        <v>7478</v>
      </c>
      <c r="J23" s="34">
        <v>3421</v>
      </c>
      <c r="K23" s="226">
        <v>0.45747526076491041</v>
      </c>
      <c r="L23" s="34">
        <v>2668</v>
      </c>
      <c r="M23" s="34">
        <v>1812</v>
      </c>
      <c r="N23" s="226">
        <v>0.24231077828296335</v>
      </c>
      <c r="O23" s="34">
        <v>755</v>
      </c>
      <c r="P23" s="226">
        <v>0.41666666666666669</v>
      </c>
      <c r="Q23" s="34">
        <v>652</v>
      </c>
      <c r="R23" s="299">
        <v>0.35677988767050012</v>
      </c>
      <c r="S23" s="132">
        <v>7811</v>
      </c>
      <c r="T23" s="132">
        <v>3419</v>
      </c>
      <c r="U23" s="343">
        <f t="shared" si="1"/>
        <v>0.43771604147996418</v>
      </c>
      <c r="V23" s="132">
        <v>476</v>
      </c>
      <c r="W23" s="132">
        <v>1910</v>
      </c>
      <c r="X23" s="343">
        <f t="shared" si="0"/>
        <v>0.24452694917424145</v>
      </c>
      <c r="Y23" s="132">
        <v>794</v>
      </c>
      <c r="Z23" s="343">
        <f t="shared" si="4"/>
        <v>0.4157068062827225</v>
      </c>
      <c r="AA23" s="132">
        <v>63</v>
      </c>
      <c r="AB23" s="343">
        <f t="shared" si="2"/>
        <v>6.0939700422481119E-2</v>
      </c>
      <c r="AC23" s="214" t="str">
        <f t="shared" si="3"/>
        <v>OK</v>
      </c>
      <c r="AD23" t="s">
        <v>24</v>
      </c>
      <c r="AE23">
        <v>7811</v>
      </c>
      <c r="AG23">
        <v>3419</v>
      </c>
      <c r="AH23">
        <v>0.43771604147996418</v>
      </c>
      <c r="AJ23">
        <v>9.8000701504552037</v>
      </c>
      <c r="AL23">
        <v>476</v>
      </c>
      <c r="AM23">
        <v>6.0939700422481119E-2</v>
      </c>
      <c r="AO23">
        <v>1910</v>
      </c>
      <c r="AP23">
        <v>0.24452694917424145</v>
      </c>
      <c r="AR23">
        <v>794</v>
      </c>
      <c r="AS23">
        <v>0.4157068062827225</v>
      </c>
      <c r="AU23">
        <v>9.2655669511582222</v>
      </c>
      <c r="AW23">
        <v>63</v>
      </c>
      <c r="AX23">
        <v>8.0655485853283835E-3</v>
      </c>
    </row>
    <row r="24" spans="1:50" x14ac:dyDescent="0.25">
      <c r="A24" s="17" t="s">
        <v>25</v>
      </c>
      <c r="B24" s="34"/>
      <c r="C24" s="34"/>
      <c r="D24" s="226" t="e">
        <v>#DIV/0!</v>
      </c>
      <c r="E24" s="34"/>
      <c r="F24" s="226" t="e">
        <v>#DIV/0!</v>
      </c>
      <c r="G24" s="34"/>
      <c r="H24" s="226" t="e">
        <v>#DIV/0!</v>
      </c>
      <c r="I24" s="34"/>
      <c r="J24" s="34"/>
      <c r="K24" s="226"/>
      <c r="L24" s="34"/>
      <c r="M24" s="34"/>
      <c r="N24" s="226"/>
      <c r="O24" s="34"/>
      <c r="P24" s="226"/>
      <c r="Q24" s="34"/>
      <c r="R24" s="299"/>
      <c r="S24" s="132"/>
      <c r="T24" s="132"/>
      <c r="U24" s="343"/>
      <c r="V24" s="132"/>
      <c r="W24" s="132"/>
      <c r="X24" s="343"/>
      <c r="Y24" s="132"/>
      <c r="Z24" s="343"/>
      <c r="AA24" s="132"/>
      <c r="AB24" s="343"/>
      <c r="AC24" s="214" t="str">
        <f t="shared" si="3"/>
        <v>OK</v>
      </c>
      <c r="AD24" t="s">
        <v>25</v>
      </c>
    </row>
    <row r="25" spans="1:50" x14ac:dyDescent="0.25">
      <c r="A25" s="17" t="s">
        <v>34</v>
      </c>
      <c r="B25" s="34">
        <v>7</v>
      </c>
      <c r="C25" s="34">
        <v>3</v>
      </c>
      <c r="D25" s="226">
        <v>0.42857142857142855</v>
      </c>
      <c r="E25" s="34"/>
      <c r="F25" s="226">
        <v>0</v>
      </c>
      <c r="G25" s="34"/>
      <c r="H25" s="226" t="e">
        <v>#DIV/0!</v>
      </c>
      <c r="I25" s="34">
        <v>7</v>
      </c>
      <c r="J25" s="34">
        <v>6</v>
      </c>
      <c r="K25" s="226">
        <v>0.8571428571428571</v>
      </c>
      <c r="L25" s="34">
        <v>7</v>
      </c>
      <c r="M25" s="34"/>
      <c r="N25" s="226">
        <v>0</v>
      </c>
      <c r="O25" s="34"/>
      <c r="P25" s="226"/>
      <c r="Q25" s="34"/>
      <c r="R25" s="299">
        <v>1</v>
      </c>
      <c r="S25" s="132">
        <v>7</v>
      </c>
      <c r="T25" s="132">
        <v>7</v>
      </c>
      <c r="U25" s="343">
        <f t="shared" si="1"/>
        <v>1</v>
      </c>
      <c r="V25" s="132">
        <v>7</v>
      </c>
      <c r="W25" s="132"/>
      <c r="X25" s="343">
        <f t="shared" si="0"/>
        <v>0</v>
      </c>
      <c r="Y25" s="132"/>
      <c r="Z25" s="343"/>
      <c r="AA25" s="132"/>
      <c r="AB25" s="343">
        <f t="shared" si="2"/>
        <v>1</v>
      </c>
      <c r="AC25" s="214" t="str">
        <f t="shared" si="3"/>
        <v>OK</v>
      </c>
      <c r="AD25" t="s">
        <v>34</v>
      </c>
      <c r="AE25">
        <v>7</v>
      </c>
      <c r="AG25">
        <v>7</v>
      </c>
      <c r="AH25">
        <v>1</v>
      </c>
      <c r="AJ25">
        <v>12.0450097847358</v>
      </c>
      <c r="AL25">
        <v>7</v>
      </c>
      <c r="AM25">
        <v>1</v>
      </c>
    </row>
    <row r="26" spans="1:50" x14ac:dyDescent="0.25">
      <c r="A26" s="17" t="s">
        <v>10</v>
      </c>
      <c r="B26" s="34">
        <v>8</v>
      </c>
      <c r="C26" s="34"/>
      <c r="D26" s="226">
        <v>0</v>
      </c>
      <c r="E26" s="34"/>
      <c r="F26" s="226">
        <v>0</v>
      </c>
      <c r="G26" s="34"/>
      <c r="H26" s="226" t="e">
        <v>#DIV/0!</v>
      </c>
      <c r="I26" s="34">
        <v>7</v>
      </c>
      <c r="J26" s="34">
        <v>3</v>
      </c>
      <c r="K26" s="226">
        <v>0.42857142857142855</v>
      </c>
      <c r="L26" s="34">
        <v>3</v>
      </c>
      <c r="M26" s="34"/>
      <c r="N26" s="226">
        <v>0</v>
      </c>
      <c r="O26" s="34"/>
      <c r="P26" s="226"/>
      <c r="Q26" s="34"/>
      <c r="R26" s="299">
        <v>0.42857142857142855</v>
      </c>
      <c r="S26" s="132">
        <v>7</v>
      </c>
      <c r="T26" s="132">
        <v>3</v>
      </c>
      <c r="U26" s="343">
        <f t="shared" si="1"/>
        <v>0.42857142857142855</v>
      </c>
      <c r="V26" s="132"/>
      <c r="W26" s="132"/>
      <c r="X26" s="343">
        <f t="shared" si="0"/>
        <v>0</v>
      </c>
      <c r="Y26" s="132"/>
      <c r="Z26" s="343"/>
      <c r="AA26" s="132"/>
      <c r="AB26" s="343">
        <f t="shared" si="2"/>
        <v>0</v>
      </c>
      <c r="AC26" s="214" t="str">
        <f t="shared" si="3"/>
        <v>OK</v>
      </c>
      <c r="AD26" t="s">
        <v>10</v>
      </c>
      <c r="AE26">
        <v>7</v>
      </c>
      <c r="AG26">
        <v>3</v>
      </c>
      <c r="AH26">
        <v>0.42857142857142855</v>
      </c>
      <c r="AJ26">
        <v>8.7088062622308993</v>
      </c>
    </row>
    <row r="27" spans="1:50" x14ac:dyDescent="0.25">
      <c r="A27" s="17" t="s">
        <v>11</v>
      </c>
      <c r="B27" s="34">
        <v>136</v>
      </c>
      <c r="C27" s="34">
        <v>50</v>
      </c>
      <c r="D27" s="226">
        <v>0.36764705882352944</v>
      </c>
      <c r="E27" s="34"/>
      <c r="F27" s="226">
        <v>0</v>
      </c>
      <c r="G27" s="34"/>
      <c r="H27" s="226" t="e">
        <v>#DIV/0!</v>
      </c>
      <c r="I27" s="34">
        <v>161</v>
      </c>
      <c r="J27" s="34">
        <v>34</v>
      </c>
      <c r="K27" s="226">
        <v>0.21118012422360249</v>
      </c>
      <c r="L27" s="34">
        <v>28</v>
      </c>
      <c r="M27" s="34">
        <v>2</v>
      </c>
      <c r="N27" s="226">
        <v>1.2422360248447204E-2</v>
      </c>
      <c r="O27" s="34"/>
      <c r="P27" s="226">
        <v>0</v>
      </c>
      <c r="Q27" s="34"/>
      <c r="R27" s="299">
        <v>0.17391304347826086</v>
      </c>
      <c r="S27" s="132">
        <v>202</v>
      </c>
      <c r="T27" s="132">
        <v>37</v>
      </c>
      <c r="U27" s="343">
        <f t="shared" si="1"/>
        <v>0.18316831683168316</v>
      </c>
      <c r="V27" s="132">
        <v>2</v>
      </c>
      <c r="W27" s="132">
        <v>2</v>
      </c>
      <c r="X27" s="343">
        <f t="shared" si="0"/>
        <v>9.9009900990099011E-3</v>
      </c>
      <c r="Y27" s="132">
        <v>1</v>
      </c>
      <c r="Z27" s="343">
        <f t="shared" si="4"/>
        <v>0.5</v>
      </c>
      <c r="AA27" s="132"/>
      <c r="AB27" s="343">
        <f t="shared" si="2"/>
        <v>9.9009900990099011E-3</v>
      </c>
      <c r="AC27" s="214" t="str">
        <f t="shared" si="3"/>
        <v>OK</v>
      </c>
      <c r="AD27" t="s">
        <v>11</v>
      </c>
      <c r="AE27">
        <v>202</v>
      </c>
      <c r="AG27">
        <v>37</v>
      </c>
      <c r="AH27">
        <v>0.18316831683168316</v>
      </c>
      <c r="AJ27">
        <v>5.632727519327263</v>
      </c>
      <c r="AL27">
        <v>2</v>
      </c>
      <c r="AM27">
        <v>9.9009900990099011E-3</v>
      </c>
      <c r="AO27">
        <v>2</v>
      </c>
      <c r="AR27">
        <v>1</v>
      </c>
      <c r="AS27">
        <v>0.5</v>
      </c>
      <c r="AU27">
        <v>7.7684931506849448</v>
      </c>
    </row>
    <row r="28" spans="1:50" x14ac:dyDescent="0.25">
      <c r="A28" s="17" t="s">
        <v>197</v>
      </c>
      <c r="B28" s="34">
        <v>58</v>
      </c>
      <c r="C28" s="34">
        <v>22</v>
      </c>
      <c r="D28" s="226">
        <v>0.37931034482758619</v>
      </c>
      <c r="E28" s="34">
        <v>33</v>
      </c>
      <c r="F28" s="226">
        <v>0.56896551724137934</v>
      </c>
      <c r="G28" s="34">
        <v>9</v>
      </c>
      <c r="H28" s="226">
        <v>0.27272727272727271</v>
      </c>
      <c r="I28" s="34">
        <v>59</v>
      </c>
      <c r="J28" s="34">
        <v>22</v>
      </c>
      <c r="K28" s="226">
        <v>0.3728813559322034</v>
      </c>
      <c r="L28" s="34">
        <v>7</v>
      </c>
      <c r="M28" s="34">
        <v>37</v>
      </c>
      <c r="N28" s="226">
        <v>0.6271186440677966</v>
      </c>
      <c r="O28" s="34">
        <v>10</v>
      </c>
      <c r="P28" s="226">
        <v>0.27027027027027029</v>
      </c>
      <c r="Q28" s="34">
        <v>4</v>
      </c>
      <c r="R28" s="299">
        <v>0.11864406779661017</v>
      </c>
      <c r="S28" s="132">
        <v>59</v>
      </c>
      <c r="T28" s="132">
        <v>23</v>
      </c>
      <c r="U28" s="343">
        <f t="shared" si="1"/>
        <v>0.38983050847457629</v>
      </c>
      <c r="V28" s="132">
        <v>8</v>
      </c>
      <c r="W28" s="132">
        <v>36</v>
      </c>
      <c r="X28" s="343">
        <f t="shared" si="0"/>
        <v>0.61016949152542377</v>
      </c>
      <c r="Y28" s="132">
        <v>11</v>
      </c>
      <c r="Z28" s="343">
        <f t="shared" si="4"/>
        <v>0.30555555555555558</v>
      </c>
      <c r="AA28" s="132">
        <v>4</v>
      </c>
      <c r="AB28" s="343">
        <f t="shared" si="2"/>
        <v>0.13559322033898305</v>
      </c>
      <c r="AC28" s="214" t="str">
        <f t="shared" si="3"/>
        <v>OK</v>
      </c>
      <c r="AD28" t="s">
        <v>197</v>
      </c>
      <c r="AE28">
        <v>59</v>
      </c>
      <c r="AG28">
        <v>23</v>
      </c>
      <c r="AH28">
        <v>0.38983050847457629</v>
      </c>
      <c r="AJ28">
        <v>11.020246110982114</v>
      </c>
      <c r="AL28">
        <v>8</v>
      </c>
      <c r="AM28">
        <v>0.13559322033898305</v>
      </c>
      <c r="AO28">
        <v>36</v>
      </c>
      <c r="AP28">
        <v>0.61016949152542377</v>
      </c>
      <c r="AR28">
        <v>11</v>
      </c>
      <c r="AS28">
        <v>0.30555555555555558</v>
      </c>
      <c r="AU28">
        <v>9.5637747336377483</v>
      </c>
      <c r="AW28">
        <v>4</v>
      </c>
      <c r="AX28">
        <v>6.7796610169491525E-2</v>
      </c>
    </row>
    <row r="29" spans="1:50" x14ac:dyDescent="0.25">
      <c r="A29" s="17" t="s">
        <v>12</v>
      </c>
      <c r="B29" s="34">
        <v>616</v>
      </c>
      <c r="C29" s="34">
        <v>375</v>
      </c>
      <c r="D29" s="226">
        <v>0.60876623376623373</v>
      </c>
      <c r="E29" s="34">
        <v>119</v>
      </c>
      <c r="F29" s="226">
        <v>0.19318181818181818</v>
      </c>
      <c r="G29" s="34">
        <v>51</v>
      </c>
      <c r="H29" s="226">
        <v>0.42857142857142855</v>
      </c>
      <c r="I29" s="34">
        <v>630</v>
      </c>
      <c r="J29" s="34">
        <v>395</v>
      </c>
      <c r="K29" s="226">
        <v>0.62698412698412698</v>
      </c>
      <c r="L29" s="34">
        <v>144</v>
      </c>
      <c r="M29" s="34">
        <v>115</v>
      </c>
      <c r="N29" s="226">
        <v>0.18253968253968253</v>
      </c>
      <c r="O29" s="34">
        <v>51</v>
      </c>
      <c r="P29" s="226">
        <v>0.44347826086956521</v>
      </c>
      <c r="Q29" s="34">
        <v>29</v>
      </c>
      <c r="R29" s="299">
        <v>0.22857142857142856</v>
      </c>
      <c r="S29" s="132">
        <v>653</v>
      </c>
      <c r="T29" s="132">
        <v>411</v>
      </c>
      <c r="U29" s="343">
        <f t="shared" si="1"/>
        <v>0.6294027565084227</v>
      </c>
      <c r="V29" s="132">
        <v>38</v>
      </c>
      <c r="W29" s="132">
        <v>120</v>
      </c>
      <c r="X29" s="343">
        <f t="shared" si="0"/>
        <v>0.18376722817764166</v>
      </c>
      <c r="Y29" s="132">
        <v>58</v>
      </c>
      <c r="Z29" s="343">
        <f t="shared" si="4"/>
        <v>0.48333333333333334</v>
      </c>
      <c r="AA29" s="132">
        <v>13</v>
      </c>
      <c r="AB29" s="343">
        <f t="shared" si="2"/>
        <v>5.8192955589586523E-2</v>
      </c>
      <c r="AC29" s="214" t="str">
        <f t="shared" si="3"/>
        <v>OK</v>
      </c>
      <c r="AD29" t="s">
        <v>12</v>
      </c>
      <c r="AE29">
        <v>653</v>
      </c>
      <c r="AG29">
        <v>411</v>
      </c>
      <c r="AH29">
        <v>0.6294027565084227</v>
      </c>
      <c r="AJ29">
        <v>15.215330718076721</v>
      </c>
      <c r="AL29">
        <v>38</v>
      </c>
      <c r="AM29">
        <v>5.8192955589586523E-2</v>
      </c>
      <c r="AO29">
        <v>120</v>
      </c>
      <c r="AP29">
        <v>0.18376722817764166</v>
      </c>
      <c r="AR29">
        <v>58</v>
      </c>
      <c r="AS29">
        <v>0.48333333333333334</v>
      </c>
      <c r="AU29">
        <v>10.12730593607305</v>
      </c>
      <c r="AW29">
        <v>13</v>
      </c>
      <c r="AX29">
        <v>1.9908116385911178E-2</v>
      </c>
    </row>
    <row r="30" spans="1:50" x14ac:dyDescent="0.25">
      <c r="A30" s="17" t="s">
        <v>13</v>
      </c>
      <c r="B30" s="34">
        <v>6</v>
      </c>
      <c r="C30" s="34"/>
      <c r="D30" s="226">
        <v>0</v>
      </c>
      <c r="E30" s="34">
        <v>2</v>
      </c>
      <c r="F30" s="226">
        <v>0.33333333333333331</v>
      </c>
      <c r="G30" s="34"/>
      <c r="H30" s="226">
        <v>0</v>
      </c>
      <c r="I30" s="34">
        <v>5</v>
      </c>
      <c r="J30" s="34">
        <v>2</v>
      </c>
      <c r="K30" s="226">
        <v>0.4</v>
      </c>
      <c r="L30" s="34"/>
      <c r="M30" s="34">
        <v>2</v>
      </c>
      <c r="N30" s="226">
        <v>0.4</v>
      </c>
      <c r="O30" s="34">
        <v>1</v>
      </c>
      <c r="P30" s="226">
        <v>0.5</v>
      </c>
      <c r="Q30" s="34"/>
      <c r="R30" s="299">
        <v>0</v>
      </c>
      <c r="S30" s="132">
        <v>5</v>
      </c>
      <c r="T30" s="132">
        <v>2</v>
      </c>
      <c r="U30" s="343">
        <f t="shared" si="1"/>
        <v>0.4</v>
      </c>
      <c r="V30" s="132"/>
      <c r="W30" s="132">
        <v>2</v>
      </c>
      <c r="X30" s="343">
        <f t="shared" si="0"/>
        <v>0.4</v>
      </c>
      <c r="Y30" s="132">
        <v>1</v>
      </c>
      <c r="Z30" s="343">
        <f t="shared" si="4"/>
        <v>0.5</v>
      </c>
      <c r="AA30" s="132"/>
      <c r="AB30" s="343">
        <f t="shared" si="2"/>
        <v>0</v>
      </c>
      <c r="AC30" s="214" t="str">
        <f t="shared" si="3"/>
        <v>OK</v>
      </c>
      <c r="AD30" t="s">
        <v>13</v>
      </c>
      <c r="AE30">
        <v>5</v>
      </c>
      <c r="AG30">
        <v>2</v>
      </c>
      <c r="AH30">
        <v>0.4</v>
      </c>
      <c r="AJ30">
        <v>9.1408219178082142</v>
      </c>
      <c r="AO30">
        <v>2</v>
      </c>
      <c r="AP30">
        <v>0.4</v>
      </c>
      <c r="AR30">
        <v>1</v>
      </c>
      <c r="AS30">
        <v>0.5</v>
      </c>
      <c r="AU30">
        <v>9.964383561643821</v>
      </c>
    </row>
    <row r="31" spans="1:50" x14ac:dyDescent="0.25">
      <c r="A31" s="17" t="s">
        <v>14</v>
      </c>
      <c r="B31" s="34">
        <v>27</v>
      </c>
      <c r="C31" s="34">
        <v>4</v>
      </c>
      <c r="D31" s="226">
        <v>0.14814814814814814</v>
      </c>
      <c r="E31" s="34">
        <v>8</v>
      </c>
      <c r="F31" s="226">
        <v>0.29629629629629628</v>
      </c>
      <c r="G31" s="34">
        <v>1</v>
      </c>
      <c r="H31" s="226">
        <v>0.125</v>
      </c>
      <c r="I31" s="34">
        <v>25</v>
      </c>
      <c r="J31" s="34">
        <v>5</v>
      </c>
      <c r="K31" s="226">
        <v>0.2</v>
      </c>
      <c r="L31" s="34">
        <v>22</v>
      </c>
      <c r="M31" s="34">
        <v>8</v>
      </c>
      <c r="N31" s="226">
        <v>0.32</v>
      </c>
      <c r="O31" s="34">
        <v>2</v>
      </c>
      <c r="P31" s="226">
        <v>0.25</v>
      </c>
      <c r="Q31" s="34">
        <v>7</v>
      </c>
      <c r="R31" s="299">
        <v>0.88</v>
      </c>
      <c r="S31" s="132">
        <v>29</v>
      </c>
      <c r="T31" s="132">
        <v>6</v>
      </c>
      <c r="U31" s="343">
        <f t="shared" si="1"/>
        <v>0.20689655172413793</v>
      </c>
      <c r="V31" s="132">
        <v>5</v>
      </c>
      <c r="W31" s="132">
        <v>9</v>
      </c>
      <c r="X31" s="343">
        <f t="shared" si="0"/>
        <v>0.31034482758620691</v>
      </c>
      <c r="Y31" s="132">
        <v>3</v>
      </c>
      <c r="Z31" s="343">
        <f t="shared" si="4"/>
        <v>0.33333333333333331</v>
      </c>
      <c r="AA31" s="132">
        <v>3</v>
      </c>
      <c r="AB31" s="343">
        <f t="shared" si="2"/>
        <v>0.17241379310344829</v>
      </c>
      <c r="AC31" s="214" t="str">
        <f t="shared" si="3"/>
        <v>OK</v>
      </c>
      <c r="AD31" t="s">
        <v>14</v>
      </c>
      <c r="AE31">
        <v>29</v>
      </c>
      <c r="AG31">
        <v>6</v>
      </c>
      <c r="AH31">
        <v>0.20689655172413793</v>
      </c>
      <c r="AJ31">
        <v>6.1005196032120885</v>
      </c>
      <c r="AL31">
        <v>5</v>
      </c>
      <c r="AM31">
        <v>0.17241379310344829</v>
      </c>
      <c r="AO31">
        <v>9</v>
      </c>
      <c r="AP31">
        <v>0.31034482758620691</v>
      </c>
      <c r="AR31">
        <v>3</v>
      </c>
      <c r="AS31">
        <v>0.33333333333333331</v>
      </c>
      <c r="AU31">
        <v>7.4450532724505321</v>
      </c>
      <c r="AW31">
        <v>3</v>
      </c>
      <c r="AX31">
        <v>0.10344827586206896</v>
      </c>
    </row>
    <row r="32" spans="1:50" x14ac:dyDescent="0.25">
      <c r="A32" s="17" t="s">
        <v>15</v>
      </c>
      <c r="B32" s="34">
        <v>133</v>
      </c>
      <c r="C32" s="34">
        <v>48</v>
      </c>
      <c r="D32" s="226">
        <v>0.36090225563909772</v>
      </c>
      <c r="E32" s="34">
        <v>54</v>
      </c>
      <c r="F32" s="226">
        <v>0.40601503759398494</v>
      </c>
      <c r="G32" s="34">
        <v>13</v>
      </c>
      <c r="H32" s="226">
        <v>0.24074074074074073</v>
      </c>
      <c r="I32" s="34">
        <v>137</v>
      </c>
      <c r="J32" s="34">
        <v>56</v>
      </c>
      <c r="K32" s="226">
        <v>0.40875912408759124</v>
      </c>
      <c r="L32" s="34">
        <v>1</v>
      </c>
      <c r="M32" s="34">
        <v>42</v>
      </c>
      <c r="N32" s="226">
        <v>0.30656934306569344</v>
      </c>
      <c r="O32" s="34">
        <v>15</v>
      </c>
      <c r="P32" s="226">
        <v>0.35714285714285715</v>
      </c>
      <c r="Q32" s="34"/>
      <c r="R32" s="299">
        <v>7.2992700729927005E-3</v>
      </c>
      <c r="S32" s="132">
        <v>116</v>
      </c>
      <c r="T32" s="132">
        <v>52</v>
      </c>
      <c r="U32" s="343">
        <f t="shared" si="1"/>
        <v>0.44827586206896552</v>
      </c>
      <c r="V32" s="132"/>
      <c r="W32" s="132">
        <v>27</v>
      </c>
      <c r="X32" s="343">
        <f t="shared" si="0"/>
        <v>0.23275862068965517</v>
      </c>
      <c r="Y32" s="132">
        <v>11</v>
      </c>
      <c r="Z32" s="343">
        <f t="shared" si="4"/>
        <v>0.40740740740740738</v>
      </c>
      <c r="AA32" s="132"/>
      <c r="AB32" s="343">
        <f t="shared" si="2"/>
        <v>0</v>
      </c>
      <c r="AC32" s="214" t="str">
        <f t="shared" si="3"/>
        <v>OK</v>
      </c>
      <c r="AD32" t="s">
        <v>15</v>
      </c>
      <c r="AE32">
        <v>116</v>
      </c>
      <c r="AG32">
        <v>52</v>
      </c>
      <c r="AH32">
        <v>0.44827586206896552</v>
      </c>
      <c r="AJ32">
        <v>10.784057628719879</v>
      </c>
      <c r="AM32">
        <v>0</v>
      </c>
      <c r="AO32">
        <v>27</v>
      </c>
      <c r="AP32">
        <v>0.23275862068965517</v>
      </c>
      <c r="AR32">
        <v>11</v>
      </c>
      <c r="AS32">
        <v>0.40740740740740738</v>
      </c>
      <c r="AU32">
        <v>8.858650431253178</v>
      </c>
    </row>
    <row r="33" spans="1:50" x14ac:dyDescent="0.25">
      <c r="A33" s="17" t="s">
        <v>16</v>
      </c>
      <c r="B33" s="34">
        <v>179</v>
      </c>
      <c r="C33" s="34">
        <v>90</v>
      </c>
      <c r="D33" s="226">
        <v>0.5027932960893855</v>
      </c>
      <c r="E33" s="34"/>
      <c r="F33" s="226">
        <v>0</v>
      </c>
      <c r="G33" s="34"/>
      <c r="H33" s="226" t="e">
        <v>#DIV/0!</v>
      </c>
      <c r="I33" s="34">
        <v>212</v>
      </c>
      <c r="J33" s="34">
        <v>92</v>
      </c>
      <c r="K33" s="226">
        <v>0.43396226415094341</v>
      </c>
      <c r="L33" s="34">
        <v>47</v>
      </c>
      <c r="M33" s="34"/>
      <c r="N33" s="226">
        <v>0</v>
      </c>
      <c r="O33" s="34"/>
      <c r="P33" s="226"/>
      <c r="Q33" s="34"/>
      <c r="R33" s="299">
        <v>0.22169811320754718</v>
      </c>
      <c r="S33" s="132">
        <v>222</v>
      </c>
      <c r="T33" s="132">
        <v>92</v>
      </c>
      <c r="U33" s="343">
        <f t="shared" si="1"/>
        <v>0.4144144144144144</v>
      </c>
      <c r="V33" s="132">
        <v>14</v>
      </c>
      <c r="W33" s="132"/>
      <c r="X33" s="343">
        <f t="shared" si="0"/>
        <v>0</v>
      </c>
      <c r="Y33" s="132"/>
      <c r="Z33" s="343"/>
      <c r="AA33" s="132"/>
      <c r="AB33" s="343">
        <f t="shared" si="2"/>
        <v>6.3063063063063057E-2</v>
      </c>
      <c r="AC33" s="214" t="str">
        <f t="shared" si="3"/>
        <v>OK</v>
      </c>
      <c r="AD33" t="s">
        <v>16</v>
      </c>
      <c r="AE33">
        <v>222</v>
      </c>
      <c r="AG33">
        <v>92</v>
      </c>
      <c r="AH33">
        <v>0.4144144144144144</v>
      </c>
      <c r="AJ33">
        <v>11.948549919782806</v>
      </c>
      <c r="AL33">
        <v>14</v>
      </c>
      <c r="AM33">
        <v>6.3063063063063057E-2</v>
      </c>
    </row>
    <row r="34" spans="1:50" x14ac:dyDescent="0.25">
      <c r="A34" s="17" t="s">
        <v>17</v>
      </c>
      <c r="B34" s="34">
        <v>27</v>
      </c>
      <c r="C34" s="34">
        <v>9</v>
      </c>
      <c r="D34" s="226">
        <v>0.33333333333333331</v>
      </c>
      <c r="E34" s="34">
        <v>2</v>
      </c>
      <c r="F34" s="226">
        <v>7.407407407407407E-2</v>
      </c>
      <c r="G34" s="34">
        <v>1</v>
      </c>
      <c r="H34" s="226">
        <v>0.5</v>
      </c>
      <c r="I34" s="34">
        <v>27</v>
      </c>
      <c r="J34" s="34">
        <v>9</v>
      </c>
      <c r="K34" s="226">
        <v>0.33333333333333331</v>
      </c>
      <c r="L34" s="34">
        <v>2</v>
      </c>
      <c r="M34" s="34">
        <v>4</v>
      </c>
      <c r="N34" s="226">
        <v>0.14814814814814814</v>
      </c>
      <c r="O34" s="34">
        <v>1</v>
      </c>
      <c r="P34" s="226">
        <v>0.25</v>
      </c>
      <c r="Q34" s="34"/>
      <c r="R34" s="299">
        <v>7.407407407407407E-2</v>
      </c>
      <c r="S34" s="132">
        <v>28</v>
      </c>
      <c r="T34" s="132">
        <v>17</v>
      </c>
      <c r="U34" s="343">
        <f t="shared" si="1"/>
        <v>0.6071428571428571</v>
      </c>
      <c r="V34" s="132">
        <v>2</v>
      </c>
      <c r="W34" s="132">
        <v>4</v>
      </c>
      <c r="X34" s="343">
        <f t="shared" si="0"/>
        <v>0.14285714285714285</v>
      </c>
      <c r="Y34" s="132">
        <v>3</v>
      </c>
      <c r="Z34" s="343">
        <f t="shared" si="4"/>
        <v>0.75</v>
      </c>
      <c r="AA34" s="132"/>
      <c r="AB34" s="343">
        <f t="shared" si="2"/>
        <v>7.1428571428571425E-2</v>
      </c>
      <c r="AC34" s="214" t="str">
        <f t="shared" si="3"/>
        <v>OK</v>
      </c>
      <c r="AD34" t="s">
        <v>17</v>
      </c>
      <c r="AE34">
        <v>28</v>
      </c>
      <c r="AG34">
        <v>17</v>
      </c>
      <c r="AH34">
        <v>0.6071428571428571</v>
      </c>
      <c r="AJ34">
        <v>11.032681017612532</v>
      </c>
      <c r="AL34">
        <v>2</v>
      </c>
      <c r="AM34">
        <v>7.1428571428571425E-2</v>
      </c>
      <c r="AO34">
        <v>4</v>
      </c>
      <c r="AP34">
        <v>0.14285714285714285</v>
      </c>
      <c r="AR34">
        <v>3</v>
      </c>
      <c r="AS34">
        <v>0.75</v>
      </c>
      <c r="AU34">
        <v>10.684931506849303</v>
      </c>
    </row>
    <row r="35" spans="1:50" x14ac:dyDescent="0.25">
      <c r="A35" s="17" t="s">
        <v>18</v>
      </c>
      <c r="B35" s="34">
        <v>548</v>
      </c>
      <c r="C35" s="34">
        <v>177</v>
      </c>
      <c r="D35" s="226">
        <v>0.32299270072992703</v>
      </c>
      <c r="E35" s="34">
        <v>363</v>
      </c>
      <c r="F35" s="226">
        <v>0.66240875912408759</v>
      </c>
      <c r="G35" s="34">
        <v>83</v>
      </c>
      <c r="H35" s="226">
        <v>0.22865013774104684</v>
      </c>
      <c r="I35" s="34">
        <v>564</v>
      </c>
      <c r="J35" s="34">
        <v>173</v>
      </c>
      <c r="K35" s="226">
        <v>0.3067375886524823</v>
      </c>
      <c r="L35" s="34">
        <v>72</v>
      </c>
      <c r="M35" s="34">
        <v>363</v>
      </c>
      <c r="N35" s="226">
        <v>0.6436170212765957</v>
      </c>
      <c r="O35" s="34">
        <v>71</v>
      </c>
      <c r="P35" s="226">
        <v>0.19559228650137742</v>
      </c>
      <c r="Q35" s="34">
        <v>35</v>
      </c>
      <c r="R35" s="299">
        <v>0.1276595744680851</v>
      </c>
      <c r="S35" s="132">
        <v>583</v>
      </c>
      <c r="T35" s="132">
        <v>208</v>
      </c>
      <c r="U35" s="343">
        <f t="shared" si="1"/>
        <v>0.35677530017152659</v>
      </c>
      <c r="V35" s="132">
        <v>2</v>
      </c>
      <c r="W35" s="132">
        <v>363</v>
      </c>
      <c r="X35" s="343">
        <f t="shared" si="0"/>
        <v>0.62264150943396224</v>
      </c>
      <c r="Y35" s="132">
        <v>91</v>
      </c>
      <c r="Z35" s="343">
        <f t="shared" si="4"/>
        <v>0.25068870523415976</v>
      </c>
      <c r="AA35" s="132">
        <v>1</v>
      </c>
      <c r="AB35" s="343">
        <f t="shared" si="2"/>
        <v>3.4305317324185248E-3</v>
      </c>
      <c r="AC35" s="214" t="str">
        <f t="shared" si="3"/>
        <v>OK</v>
      </c>
      <c r="AD35" t="s">
        <v>18</v>
      </c>
      <c r="AE35">
        <v>583</v>
      </c>
      <c r="AG35">
        <v>208</v>
      </c>
      <c r="AH35">
        <v>0.35677530017152659</v>
      </c>
      <c r="AJ35">
        <v>9.5220564392960334</v>
      </c>
      <c r="AL35">
        <v>2</v>
      </c>
      <c r="AM35">
        <v>3.4305317324185248E-3</v>
      </c>
      <c r="AO35">
        <v>363</v>
      </c>
      <c r="AP35">
        <v>0.62264150943396224</v>
      </c>
      <c r="AR35">
        <v>91</v>
      </c>
      <c r="AS35">
        <v>0.25068870523415976</v>
      </c>
      <c r="AU35">
        <v>7.8972112155175669</v>
      </c>
      <c r="AW35">
        <v>1</v>
      </c>
      <c r="AX35">
        <v>1.7152658662092624E-3</v>
      </c>
    </row>
    <row r="36" spans="1:50" x14ac:dyDescent="0.25">
      <c r="A36" s="17" t="s">
        <v>19</v>
      </c>
      <c r="B36" s="34">
        <v>7</v>
      </c>
      <c r="C36" s="34"/>
      <c r="D36" s="226">
        <v>0</v>
      </c>
      <c r="E36" s="34"/>
      <c r="F36" s="226">
        <v>0</v>
      </c>
      <c r="G36" s="34"/>
      <c r="H36" s="226" t="e">
        <v>#DIV/0!</v>
      </c>
      <c r="I36" s="34">
        <v>6</v>
      </c>
      <c r="J36" s="34"/>
      <c r="K36" s="226">
        <v>0</v>
      </c>
      <c r="L36" s="34">
        <v>6</v>
      </c>
      <c r="M36" s="34"/>
      <c r="N36" s="226">
        <v>0</v>
      </c>
      <c r="O36" s="34"/>
      <c r="P36" s="226"/>
      <c r="Q36" s="34"/>
      <c r="R36" s="299">
        <v>1</v>
      </c>
      <c r="S36" s="132">
        <v>6</v>
      </c>
      <c r="T36" s="132">
        <v>2</v>
      </c>
      <c r="U36" s="343">
        <f t="shared" si="1"/>
        <v>0.33333333333333331</v>
      </c>
      <c r="V36" s="132"/>
      <c r="W36" s="132"/>
      <c r="X36" s="343">
        <f t="shared" si="0"/>
        <v>0</v>
      </c>
      <c r="Y36" s="132"/>
      <c r="Z36" s="343"/>
      <c r="AA36" s="132"/>
      <c r="AB36" s="343">
        <f t="shared" si="2"/>
        <v>0</v>
      </c>
      <c r="AC36" s="214" t="str">
        <f t="shared" si="3"/>
        <v>OK</v>
      </c>
      <c r="AD36" t="s">
        <v>19</v>
      </c>
      <c r="AE36">
        <v>6</v>
      </c>
      <c r="AG36">
        <v>2</v>
      </c>
      <c r="AH36">
        <v>0.33333333333333331</v>
      </c>
      <c r="AJ36">
        <v>7.3689497716894898</v>
      </c>
    </row>
    <row r="37" spans="1:50" x14ac:dyDescent="0.25">
      <c r="A37" s="17" t="s">
        <v>31</v>
      </c>
      <c r="B37" s="34"/>
      <c r="C37" s="34"/>
      <c r="D37" s="226" t="e">
        <v>#DIV/0!</v>
      </c>
      <c r="E37" s="34"/>
      <c r="F37" s="226" t="e">
        <v>#DIV/0!</v>
      </c>
      <c r="G37" s="34"/>
      <c r="H37" s="226" t="e">
        <v>#DIV/0!</v>
      </c>
      <c r="I37" s="34">
        <v>7</v>
      </c>
      <c r="J37" s="34"/>
      <c r="K37" s="226">
        <v>0</v>
      </c>
      <c r="L37" s="34">
        <v>5</v>
      </c>
      <c r="M37" s="34"/>
      <c r="N37" s="226">
        <v>0</v>
      </c>
      <c r="O37" s="34"/>
      <c r="P37" s="226"/>
      <c r="Q37" s="34"/>
      <c r="R37" s="299">
        <v>0.7142857142857143</v>
      </c>
      <c r="S37" s="132">
        <v>7</v>
      </c>
      <c r="T37" s="132"/>
      <c r="U37" s="343">
        <f t="shared" si="1"/>
        <v>0</v>
      </c>
      <c r="V37" s="132"/>
      <c r="W37" s="132"/>
      <c r="X37" s="343">
        <f t="shared" si="0"/>
        <v>0</v>
      </c>
      <c r="Y37" s="132"/>
      <c r="Z37" s="343"/>
      <c r="AA37" s="132"/>
      <c r="AB37" s="343">
        <f t="shared" si="2"/>
        <v>0</v>
      </c>
      <c r="AC37" s="214" t="str">
        <f t="shared" si="3"/>
        <v>OK</v>
      </c>
      <c r="AD37" t="s">
        <v>31</v>
      </c>
      <c r="AE37">
        <v>7</v>
      </c>
      <c r="AJ37">
        <v>4.691193737769078</v>
      </c>
    </row>
    <row r="38" spans="1:50" x14ac:dyDescent="0.25">
      <c r="A38" s="17" t="s">
        <v>20</v>
      </c>
      <c r="B38" s="34">
        <v>29</v>
      </c>
      <c r="C38" s="34">
        <v>15</v>
      </c>
      <c r="D38" s="226">
        <v>0.51724137931034486</v>
      </c>
      <c r="E38" s="34"/>
      <c r="F38" s="226">
        <v>0</v>
      </c>
      <c r="G38" s="34"/>
      <c r="H38" s="226" t="e">
        <v>#DIV/0!</v>
      </c>
      <c r="I38" s="34">
        <v>32</v>
      </c>
      <c r="J38" s="34">
        <v>16</v>
      </c>
      <c r="K38" s="226">
        <v>0.5</v>
      </c>
      <c r="L38" s="34">
        <v>3</v>
      </c>
      <c r="M38" s="34"/>
      <c r="N38" s="226">
        <v>0</v>
      </c>
      <c r="O38" s="34"/>
      <c r="P38" s="226"/>
      <c r="Q38" s="34"/>
      <c r="R38" s="299">
        <v>9.375E-2</v>
      </c>
      <c r="S38" s="132">
        <v>36</v>
      </c>
      <c r="T38" s="132">
        <v>17</v>
      </c>
      <c r="U38" s="343">
        <f t="shared" si="1"/>
        <v>0.47222222222222221</v>
      </c>
      <c r="V38" s="132">
        <v>3</v>
      </c>
      <c r="W38" s="132"/>
      <c r="X38" s="343">
        <f t="shared" si="0"/>
        <v>0</v>
      </c>
      <c r="Y38" s="132"/>
      <c r="Z38" s="343"/>
      <c r="AA38" s="132"/>
      <c r="AB38" s="343">
        <f t="shared" si="2"/>
        <v>8.3333333333333329E-2</v>
      </c>
      <c r="AC38" s="214" t="str">
        <f t="shared" si="3"/>
        <v>OK</v>
      </c>
      <c r="AD38" t="s">
        <v>20</v>
      </c>
      <c r="AE38">
        <v>36</v>
      </c>
      <c r="AG38">
        <v>17</v>
      </c>
      <c r="AH38">
        <v>0.47222222222222221</v>
      </c>
      <c r="AJ38">
        <v>10.319101978691021</v>
      </c>
      <c r="AL38">
        <v>3</v>
      </c>
      <c r="AM38">
        <v>8.3333333333333329E-2</v>
      </c>
    </row>
    <row r="39" spans="1:50" x14ac:dyDescent="0.25">
      <c r="A39" s="17" t="s">
        <v>27</v>
      </c>
      <c r="B39" s="34"/>
      <c r="C39" s="34"/>
      <c r="D39" s="226" t="e">
        <v>#DIV/0!</v>
      </c>
      <c r="E39" s="34"/>
      <c r="F39" s="226" t="e">
        <v>#DIV/0!</v>
      </c>
      <c r="G39" s="34"/>
      <c r="H39" s="226" t="e">
        <v>#DIV/0!</v>
      </c>
      <c r="I39" s="34"/>
      <c r="J39" s="34"/>
      <c r="K39" s="226"/>
      <c r="L39" s="34"/>
      <c r="M39" s="34"/>
      <c r="N39" s="226"/>
      <c r="O39" s="34"/>
      <c r="P39" s="226"/>
      <c r="Q39" s="34"/>
      <c r="R39" s="299"/>
      <c r="S39" s="132"/>
      <c r="T39" s="132"/>
      <c r="U39" s="343"/>
      <c r="V39" s="132"/>
      <c r="W39" s="132"/>
      <c r="X39" s="343"/>
      <c r="Y39" s="132"/>
      <c r="Z39" s="343"/>
      <c r="AA39" s="132"/>
      <c r="AB39" s="343"/>
      <c r="AC39" s="214" t="str">
        <f t="shared" si="3"/>
        <v>OK</v>
      </c>
      <c r="AD39" t="s">
        <v>27</v>
      </c>
    </row>
    <row r="40" spans="1:50" x14ac:dyDescent="0.25">
      <c r="A40" s="17" t="s">
        <v>32</v>
      </c>
      <c r="B40" s="34">
        <v>2</v>
      </c>
      <c r="C40" s="34"/>
      <c r="D40" s="226">
        <v>0</v>
      </c>
      <c r="E40" s="34"/>
      <c r="F40" s="226">
        <v>0</v>
      </c>
      <c r="G40" s="34"/>
      <c r="H40" s="226" t="e">
        <v>#DIV/0!</v>
      </c>
      <c r="I40" s="34">
        <v>4</v>
      </c>
      <c r="J40" s="34">
        <v>1</v>
      </c>
      <c r="K40" s="226">
        <v>0.25</v>
      </c>
      <c r="L40" s="34">
        <v>4</v>
      </c>
      <c r="M40" s="34"/>
      <c r="N40" s="226">
        <v>0</v>
      </c>
      <c r="O40" s="34"/>
      <c r="P40" s="226"/>
      <c r="Q40" s="34"/>
      <c r="R40" s="299">
        <v>1</v>
      </c>
      <c r="S40" s="132">
        <v>4</v>
      </c>
      <c r="T40" s="132">
        <v>1</v>
      </c>
      <c r="U40" s="343">
        <f t="shared" si="1"/>
        <v>0.25</v>
      </c>
      <c r="V40" s="132"/>
      <c r="W40" s="132"/>
      <c r="X40" s="343">
        <f t="shared" si="0"/>
        <v>0</v>
      </c>
      <c r="Y40" s="132"/>
      <c r="Z40" s="343"/>
      <c r="AA40" s="132"/>
      <c r="AB40" s="343">
        <f t="shared" si="2"/>
        <v>0</v>
      </c>
      <c r="AC40" s="214" t="str">
        <f t="shared" si="3"/>
        <v>OK</v>
      </c>
      <c r="AD40" t="s">
        <v>32</v>
      </c>
      <c r="AE40">
        <v>4</v>
      </c>
      <c r="AG40">
        <v>1</v>
      </c>
      <c r="AH40">
        <v>0.25</v>
      </c>
      <c r="AJ40">
        <v>6.0136986301369753</v>
      </c>
    </row>
    <row r="41" spans="1:50" x14ac:dyDescent="0.25">
      <c r="A41" s="17" t="s">
        <v>21</v>
      </c>
      <c r="B41" s="34">
        <v>177</v>
      </c>
      <c r="C41" s="34">
        <v>32</v>
      </c>
      <c r="D41" s="226">
        <v>0.1807909604519774</v>
      </c>
      <c r="E41" s="34">
        <v>2</v>
      </c>
      <c r="F41" s="226">
        <v>1.1299435028248588E-2</v>
      </c>
      <c r="G41" s="34"/>
      <c r="H41" s="226">
        <v>0</v>
      </c>
      <c r="I41" s="34">
        <v>165</v>
      </c>
      <c r="J41" s="34">
        <v>34</v>
      </c>
      <c r="K41" s="226">
        <v>0.20606060606060606</v>
      </c>
      <c r="L41" s="34">
        <v>25</v>
      </c>
      <c r="M41" s="34">
        <v>2</v>
      </c>
      <c r="N41" s="226">
        <v>1.2121212121212121E-2</v>
      </c>
      <c r="O41" s="34">
        <v>2</v>
      </c>
      <c r="P41" s="226">
        <v>1</v>
      </c>
      <c r="Q41" s="34"/>
      <c r="R41" s="299">
        <v>0.15151515151515152</v>
      </c>
      <c r="S41" s="132">
        <v>163</v>
      </c>
      <c r="T41" s="132">
        <v>34</v>
      </c>
      <c r="U41" s="343">
        <f t="shared" si="1"/>
        <v>0.20858895705521471</v>
      </c>
      <c r="V41" s="132">
        <v>23</v>
      </c>
      <c r="W41" s="132">
        <v>2</v>
      </c>
      <c r="X41" s="343">
        <f t="shared" si="0"/>
        <v>1.2269938650306749E-2</v>
      </c>
      <c r="Y41" s="132">
        <v>2</v>
      </c>
      <c r="Z41" s="343">
        <f t="shared" si="4"/>
        <v>1</v>
      </c>
      <c r="AA41" s="132"/>
      <c r="AB41" s="343">
        <f t="shared" si="2"/>
        <v>0.1411042944785276</v>
      </c>
      <c r="AC41" s="214" t="str">
        <f t="shared" si="3"/>
        <v>OK</v>
      </c>
      <c r="AD41" t="s">
        <v>21</v>
      </c>
      <c r="AE41">
        <v>163</v>
      </c>
      <c r="AG41">
        <v>34</v>
      </c>
      <c r="AH41">
        <v>0.20858895705521471</v>
      </c>
      <c r="AJ41">
        <v>7.8974703756618112</v>
      </c>
      <c r="AL41">
        <v>23</v>
      </c>
      <c r="AM41">
        <v>0.1411042944785276</v>
      </c>
      <c r="AO41">
        <v>2</v>
      </c>
      <c r="AP41">
        <v>1.2269938650306749E-2</v>
      </c>
      <c r="AR41">
        <v>2</v>
      </c>
      <c r="AS41">
        <v>1</v>
      </c>
      <c r="AU41">
        <v>13.412328767123299</v>
      </c>
    </row>
    <row r="42" spans="1:50" x14ac:dyDescent="0.25">
      <c r="A42" s="17" t="s">
        <v>43</v>
      </c>
      <c r="B42" s="34">
        <v>542</v>
      </c>
      <c r="C42" s="34">
        <v>231</v>
      </c>
      <c r="D42" s="226">
        <v>0.42619926199261993</v>
      </c>
      <c r="E42" s="34">
        <v>86</v>
      </c>
      <c r="F42" s="226">
        <v>0.15867158671586715</v>
      </c>
      <c r="G42" s="34">
        <v>38</v>
      </c>
      <c r="H42" s="226">
        <v>0.44186046511627908</v>
      </c>
      <c r="I42" s="34">
        <v>545</v>
      </c>
      <c r="J42" s="34">
        <v>211</v>
      </c>
      <c r="K42" s="226">
        <v>0.38715596330275232</v>
      </c>
      <c r="L42" s="34">
        <v>123</v>
      </c>
      <c r="M42" s="34">
        <v>88</v>
      </c>
      <c r="N42" s="226">
        <v>0.16146788990825689</v>
      </c>
      <c r="O42" s="34">
        <v>46</v>
      </c>
      <c r="P42" s="226">
        <v>0.52272727272727271</v>
      </c>
      <c r="Q42" s="34">
        <v>4</v>
      </c>
      <c r="R42" s="299">
        <v>0.22568807339449543</v>
      </c>
      <c r="S42" s="132">
        <v>576</v>
      </c>
      <c r="T42" s="132">
        <v>231</v>
      </c>
      <c r="U42" s="343">
        <f t="shared" si="1"/>
        <v>0.40104166666666669</v>
      </c>
      <c r="V42" s="132">
        <v>2</v>
      </c>
      <c r="W42" s="132">
        <v>92</v>
      </c>
      <c r="X42" s="343">
        <f t="shared" si="0"/>
        <v>0.15972222222222221</v>
      </c>
      <c r="Y42" s="132">
        <v>48</v>
      </c>
      <c r="Z42" s="343">
        <f t="shared" si="4"/>
        <v>0.52173913043478259</v>
      </c>
      <c r="AA42" s="132"/>
      <c r="AB42" s="343">
        <f t="shared" si="2"/>
        <v>3.472222222222222E-3</v>
      </c>
      <c r="AC42" s="214" t="str">
        <f t="shared" si="3"/>
        <v>No</v>
      </c>
      <c r="AD42" t="s">
        <v>398</v>
      </c>
      <c r="AE42">
        <v>576</v>
      </c>
      <c r="AG42">
        <v>231</v>
      </c>
      <c r="AH42">
        <v>0.40104166666666669</v>
      </c>
      <c r="AJ42">
        <v>9.9315401445966494</v>
      </c>
      <c r="AL42">
        <v>2</v>
      </c>
      <c r="AM42">
        <v>3.472222222222222E-3</v>
      </c>
      <c r="AO42">
        <v>92</v>
      </c>
      <c r="AP42">
        <v>0.15972222222222221</v>
      </c>
      <c r="AR42">
        <v>48</v>
      </c>
      <c r="AS42">
        <v>0.52173913043478259</v>
      </c>
      <c r="AU42">
        <v>11.125253126861224</v>
      </c>
    </row>
    <row r="43" spans="1:50" x14ac:dyDescent="0.25">
      <c r="A43" s="17" t="s">
        <v>44</v>
      </c>
      <c r="B43" s="34">
        <v>573</v>
      </c>
      <c r="C43" s="34">
        <v>138</v>
      </c>
      <c r="D43" s="226">
        <v>0.24083769633507854</v>
      </c>
      <c r="E43" s="34">
        <v>23</v>
      </c>
      <c r="F43" s="226">
        <v>4.0139616055846421E-2</v>
      </c>
      <c r="G43" s="34">
        <v>15</v>
      </c>
      <c r="H43" s="226">
        <v>0.65217391304347827</v>
      </c>
      <c r="I43" s="34">
        <v>604</v>
      </c>
      <c r="J43" s="34">
        <v>184</v>
      </c>
      <c r="K43" s="226">
        <v>0.30463576158940397</v>
      </c>
      <c r="L43" s="34">
        <v>55</v>
      </c>
      <c r="M43" s="34">
        <v>17</v>
      </c>
      <c r="N43" s="226">
        <v>2.8145695364238412E-2</v>
      </c>
      <c r="O43" s="34">
        <v>8</v>
      </c>
      <c r="P43" s="226">
        <v>0.47058823529411764</v>
      </c>
      <c r="Q43" s="34">
        <v>2</v>
      </c>
      <c r="R43" s="299">
        <v>9.1059602649006616E-2</v>
      </c>
      <c r="S43" s="132">
        <v>631</v>
      </c>
      <c r="T43" s="132">
        <v>211</v>
      </c>
      <c r="U43" s="343">
        <f t="shared" si="1"/>
        <v>0.33438985736925514</v>
      </c>
      <c r="V43" s="132">
        <v>1</v>
      </c>
      <c r="W43" s="132">
        <v>9</v>
      </c>
      <c r="X43" s="343">
        <f t="shared" si="0"/>
        <v>1.4263074484944533E-2</v>
      </c>
      <c r="Y43" s="132">
        <v>7</v>
      </c>
      <c r="Z43" s="343">
        <f t="shared" si="4"/>
        <v>0.77777777777777779</v>
      </c>
      <c r="AA43" s="132"/>
      <c r="AB43" s="343">
        <f t="shared" si="2"/>
        <v>1.5847860538827259E-3</v>
      </c>
      <c r="AC43" s="214" t="str">
        <f t="shared" si="3"/>
        <v>No</v>
      </c>
      <c r="AD43" t="s">
        <v>399</v>
      </c>
      <c r="AE43">
        <v>631</v>
      </c>
      <c r="AG43">
        <v>211</v>
      </c>
      <c r="AH43">
        <v>0.33438985736925514</v>
      </c>
      <c r="AJ43">
        <v>8.5421227449362966</v>
      </c>
      <c r="AL43">
        <v>1</v>
      </c>
      <c r="AM43">
        <v>1.5847860538827259E-3</v>
      </c>
      <c r="AO43">
        <v>9</v>
      </c>
      <c r="AP43">
        <v>1.4263074484944533E-2</v>
      </c>
      <c r="AR43">
        <v>7</v>
      </c>
      <c r="AS43">
        <v>0.77777777777777779</v>
      </c>
      <c r="AU43">
        <v>13.192085235920853</v>
      </c>
    </row>
    <row r="44" spans="1:50" x14ac:dyDescent="0.25">
      <c r="A44" s="17" t="s">
        <v>35</v>
      </c>
      <c r="B44" s="34"/>
      <c r="C44" s="34"/>
      <c r="D44" s="226" t="e">
        <v>#DIV/0!</v>
      </c>
      <c r="E44" s="34"/>
      <c r="F44" s="226" t="e">
        <v>#DIV/0!</v>
      </c>
      <c r="G44" s="34"/>
      <c r="H44" s="226" t="e">
        <v>#DIV/0!</v>
      </c>
      <c r="I44" s="34"/>
      <c r="J44" s="34"/>
      <c r="K44" s="226"/>
      <c r="L44" s="34"/>
      <c r="M44" s="34"/>
      <c r="N44" s="226"/>
      <c r="O44" s="34"/>
      <c r="P44" s="226"/>
      <c r="Q44" s="34"/>
      <c r="R44" s="299"/>
      <c r="S44" s="132"/>
      <c r="T44" s="132"/>
      <c r="U44" s="343"/>
      <c r="V44" s="132"/>
      <c r="W44" s="132"/>
      <c r="X44" s="343"/>
      <c r="Y44" s="132"/>
      <c r="Z44" s="343"/>
      <c r="AA44" s="132"/>
      <c r="AB44" s="343"/>
      <c r="AC44" s="214" t="str">
        <f t="shared" si="3"/>
        <v>OK</v>
      </c>
      <c r="AD44" t="s">
        <v>35</v>
      </c>
      <c r="AM44" t="e">
        <v>#DIV/0!</v>
      </c>
    </row>
    <row r="45" spans="1:50" x14ac:dyDescent="0.25">
      <c r="A45" s="17" t="s">
        <v>36</v>
      </c>
      <c r="B45" s="34"/>
      <c r="C45" s="34"/>
      <c r="D45" s="226" t="e">
        <v>#DIV/0!</v>
      </c>
      <c r="E45" s="34"/>
      <c r="F45" s="226" t="e">
        <v>#DIV/0!</v>
      </c>
      <c r="G45" s="34"/>
      <c r="H45" s="226" t="e">
        <v>#DIV/0!</v>
      </c>
      <c r="I45" s="34"/>
      <c r="J45" s="34"/>
      <c r="K45" s="226"/>
      <c r="L45" s="34"/>
      <c r="M45" s="34"/>
      <c r="N45" s="226"/>
      <c r="O45" s="34"/>
      <c r="P45" s="226"/>
      <c r="Q45" s="34"/>
      <c r="R45" s="299"/>
      <c r="S45" s="132">
        <v>1</v>
      </c>
      <c r="T45" s="132"/>
      <c r="U45" s="343">
        <f t="shared" si="1"/>
        <v>0</v>
      </c>
      <c r="V45" s="132"/>
      <c r="W45" s="132"/>
      <c r="X45" s="343">
        <f t="shared" si="0"/>
        <v>0</v>
      </c>
      <c r="Y45" s="132"/>
      <c r="Z45" s="343"/>
      <c r="AA45" s="132"/>
      <c r="AB45" s="343">
        <f t="shared" si="2"/>
        <v>0</v>
      </c>
      <c r="AC45" s="214" t="str">
        <f t="shared" si="3"/>
        <v>OK</v>
      </c>
      <c r="AD45" t="s">
        <v>36</v>
      </c>
      <c r="AE45">
        <v>1</v>
      </c>
      <c r="AJ45">
        <v>1.47671232876712</v>
      </c>
    </row>
    <row r="46" spans="1:50" x14ac:dyDescent="0.25">
      <c r="A46" s="17" t="s">
        <v>37</v>
      </c>
      <c r="B46" s="34">
        <v>1</v>
      </c>
      <c r="C46" s="34">
        <v>1</v>
      </c>
      <c r="D46" s="226">
        <v>1</v>
      </c>
      <c r="E46" s="34"/>
      <c r="F46" s="226">
        <v>0</v>
      </c>
      <c r="G46" s="34"/>
      <c r="H46" s="226" t="e">
        <v>#DIV/0!</v>
      </c>
      <c r="I46" s="34">
        <v>1</v>
      </c>
      <c r="J46" s="34">
        <v>1</v>
      </c>
      <c r="K46" s="226">
        <v>1</v>
      </c>
      <c r="L46" s="34"/>
      <c r="M46" s="34"/>
      <c r="N46" s="226">
        <v>0</v>
      </c>
      <c r="O46" s="34"/>
      <c r="P46" s="226"/>
      <c r="Q46" s="34"/>
      <c r="R46" s="299">
        <v>0</v>
      </c>
      <c r="S46" s="132">
        <v>1</v>
      </c>
      <c r="T46" s="132">
        <v>1</v>
      </c>
      <c r="U46" s="343">
        <f t="shared" si="1"/>
        <v>1</v>
      </c>
      <c r="V46" s="132"/>
      <c r="W46" s="132"/>
      <c r="X46" s="343">
        <f t="shared" si="0"/>
        <v>0</v>
      </c>
      <c r="Y46" s="132"/>
      <c r="Z46" s="343"/>
      <c r="AA46" s="132"/>
      <c r="AB46" s="343">
        <f t="shared" si="2"/>
        <v>0</v>
      </c>
      <c r="AC46" s="214" t="str">
        <f t="shared" si="3"/>
        <v>OK</v>
      </c>
      <c r="AD46" t="s">
        <v>37</v>
      </c>
      <c r="AE46">
        <v>1</v>
      </c>
      <c r="AG46">
        <v>1</v>
      </c>
      <c r="AH46">
        <v>1</v>
      </c>
      <c r="AJ46">
        <v>15.202739726027399</v>
      </c>
    </row>
    <row r="47" spans="1:50" x14ac:dyDescent="0.25">
      <c r="A47" s="17" t="s">
        <v>38</v>
      </c>
      <c r="B47" s="34">
        <v>36</v>
      </c>
      <c r="C47" s="34">
        <v>13</v>
      </c>
      <c r="D47" s="226">
        <v>0.3611111111111111</v>
      </c>
      <c r="E47" s="34">
        <v>4</v>
      </c>
      <c r="F47" s="226">
        <v>0.1111111111111111</v>
      </c>
      <c r="G47" s="34">
        <v>2</v>
      </c>
      <c r="H47" s="226">
        <v>0.5</v>
      </c>
      <c r="I47" s="34">
        <v>45</v>
      </c>
      <c r="J47" s="34">
        <v>14</v>
      </c>
      <c r="K47" s="226">
        <v>0.31111111111111112</v>
      </c>
      <c r="L47" s="34">
        <v>27</v>
      </c>
      <c r="M47" s="34">
        <v>7</v>
      </c>
      <c r="N47" s="226">
        <v>0.15555555555555556</v>
      </c>
      <c r="O47" s="34">
        <v>4</v>
      </c>
      <c r="P47" s="226">
        <v>0.5714285714285714</v>
      </c>
      <c r="Q47" s="34">
        <v>4</v>
      </c>
      <c r="R47" s="299">
        <v>0.6</v>
      </c>
      <c r="S47" s="132">
        <v>42</v>
      </c>
      <c r="T47" s="132">
        <v>14</v>
      </c>
      <c r="U47" s="343">
        <f t="shared" si="1"/>
        <v>0.33333333333333331</v>
      </c>
      <c r="V47" s="132"/>
      <c r="W47" s="132">
        <v>7</v>
      </c>
      <c r="X47" s="343">
        <f t="shared" si="0"/>
        <v>0.16666666666666666</v>
      </c>
      <c r="Y47" s="132">
        <v>6</v>
      </c>
      <c r="Z47" s="343">
        <f t="shared" si="4"/>
        <v>0.8571428571428571</v>
      </c>
      <c r="AA47" s="132"/>
      <c r="AB47" s="343">
        <f t="shared" si="2"/>
        <v>0</v>
      </c>
      <c r="AC47" s="214" t="str">
        <f t="shared" si="3"/>
        <v>OK</v>
      </c>
      <c r="AD47" t="s">
        <v>38</v>
      </c>
      <c r="AE47">
        <v>42</v>
      </c>
      <c r="AG47">
        <v>14</v>
      </c>
      <c r="AH47">
        <v>0.33333333333333331</v>
      </c>
      <c r="AJ47">
        <v>7.7686888454011704</v>
      </c>
      <c r="AO47">
        <v>7</v>
      </c>
      <c r="AP47">
        <v>0.16666666666666666</v>
      </c>
      <c r="AR47">
        <v>6</v>
      </c>
      <c r="AS47">
        <v>0.8571428571428571</v>
      </c>
      <c r="AU47">
        <v>13.470450097847358</v>
      </c>
    </row>
    <row r="48" spans="1:50" x14ac:dyDescent="0.25">
      <c r="A48" s="17" t="s">
        <v>39</v>
      </c>
      <c r="B48" s="34"/>
      <c r="C48" s="34"/>
      <c r="D48" s="226" t="e">
        <v>#DIV/0!</v>
      </c>
      <c r="E48" s="34"/>
      <c r="F48" s="226" t="e">
        <v>#DIV/0!</v>
      </c>
      <c r="G48" s="34"/>
      <c r="H48" s="226" t="e">
        <v>#DIV/0!</v>
      </c>
      <c r="I48" s="34"/>
      <c r="J48" s="34"/>
      <c r="K48" s="226"/>
      <c r="L48" s="34"/>
      <c r="M48" s="34"/>
      <c r="N48" s="226"/>
      <c r="O48" s="34"/>
      <c r="P48" s="226"/>
      <c r="Q48" s="34"/>
      <c r="R48" s="299"/>
      <c r="S48" s="132"/>
      <c r="T48" s="132"/>
      <c r="U48" s="343"/>
      <c r="V48" s="132"/>
      <c r="W48" s="132"/>
      <c r="X48" s="343"/>
      <c r="Y48" s="132"/>
      <c r="Z48" s="343"/>
      <c r="AA48" s="132"/>
      <c r="AB48" s="343"/>
      <c r="AC48" s="214" t="str">
        <f t="shared" si="3"/>
        <v>OK</v>
      </c>
      <c r="AD48" t="s">
        <v>39</v>
      </c>
      <c r="AM48" t="e">
        <v>#DIV/0!</v>
      </c>
      <c r="AP48" t="e">
        <v>#DIV/0!</v>
      </c>
      <c r="AX48" t="e">
        <v>#DIV/0!</v>
      </c>
    </row>
    <row r="49" spans="1:50" x14ac:dyDescent="0.25">
      <c r="A49" s="17" t="s">
        <v>40</v>
      </c>
      <c r="B49" s="34">
        <v>1440</v>
      </c>
      <c r="C49" s="34">
        <v>342</v>
      </c>
      <c r="D49" s="226">
        <v>0.23749999999999999</v>
      </c>
      <c r="E49" s="34">
        <v>4</v>
      </c>
      <c r="F49" s="226">
        <v>2.7777777777777779E-3</v>
      </c>
      <c r="G49" s="34"/>
      <c r="H49" s="226">
        <v>0</v>
      </c>
      <c r="I49" s="34">
        <v>1482</v>
      </c>
      <c r="J49" s="34">
        <v>446</v>
      </c>
      <c r="K49" s="226">
        <v>0.30094466936572201</v>
      </c>
      <c r="L49" s="34">
        <v>437</v>
      </c>
      <c r="M49" s="34">
        <v>3</v>
      </c>
      <c r="N49" s="226">
        <v>2.0242914979757085E-3</v>
      </c>
      <c r="O49" s="34"/>
      <c r="P49" s="226">
        <v>0</v>
      </c>
      <c r="Q49" s="34">
        <v>2</v>
      </c>
      <c r="R49" s="299">
        <v>0.29487179487179488</v>
      </c>
      <c r="S49" s="132">
        <v>1677</v>
      </c>
      <c r="T49" s="132">
        <v>501</v>
      </c>
      <c r="U49" s="343">
        <f t="shared" si="1"/>
        <v>0.29874776386404295</v>
      </c>
      <c r="V49" s="132">
        <v>596</v>
      </c>
      <c r="W49" s="132"/>
      <c r="X49" s="343">
        <f t="shared" si="0"/>
        <v>0</v>
      </c>
      <c r="Y49" s="132"/>
      <c r="Z49" s="343"/>
      <c r="AA49" s="132"/>
      <c r="AB49" s="343">
        <f t="shared" si="2"/>
        <v>0.35539654144305305</v>
      </c>
      <c r="AC49" s="214" t="str">
        <f t="shared" si="3"/>
        <v>OK</v>
      </c>
      <c r="AD49" t="s">
        <v>40</v>
      </c>
      <c r="AE49">
        <v>1677</v>
      </c>
      <c r="AG49">
        <v>501</v>
      </c>
      <c r="AH49">
        <v>0.29874776386404295</v>
      </c>
      <c r="AJ49">
        <v>7.2402316596007994</v>
      </c>
      <c r="AL49">
        <v>596</v>
      </c>
      <c r="AM49">
        <v>0.35539654144305305</v>
      </c>
    </row>
    <row r="50" spans="1:50" x14ac:dyDescent="0.25">
      <c r="A50" s="17" t="s">
        <v>41</v>
      </c>
      <c r="B50" s="34">
        <v>414</v>
      </c>
      <c r="C50" s="34">
        <v>161</v>
      </c>
      <c r="D50" s="226">
        <v>0.3888888888888889</v>
      </c>
      <c r="E50" s="34"/>
      <c r="F50" s="226">
        <v>0</v>
      </c>
      <c r="G50" s="34"/>
      <c r="H50" s="226" t="e">
        <v>#DIV/0!</v>
      </c>
      <c r="I50" s="34">
        <v>459</v>
      </c>
      <c r="J50" s="34">
        <v>160</v>
      </c>
      <c r="K50" s="226">
        <v>0.34858387799564272</v>
      </c>
      <c r="L50" s="34">
        <v>129</v>
      </c>
      <c r="M50" s="34"/>
      <c r="N50" s="226">
        <v>0</v>
      </c>
      <c r="O50" s="34"/>
      <c r="P50" s="226"/>
      <c r="Q50" s="34"/>
      <c r="R50" s="299">
        <v>0.28104575163398693</v>
      </c>
      <c r="S50" s="132">
        <v>502</v>
      </c>
      <c r="T50" s="132">
        <v>170</v>
      </c>
      <c r="U50" s="343">
        <f t="shared" si="1"/>
        <v>0.3386454183266932</v>
      </c>
      <c r="V50" s="132">
        <v>128</v>
      </c>
      <c r="W50" s="132"/>
      <c r="X50" s="343">
        <f t="shared" si="0"/>
        <v>0</v>
      </c>
      <c r="Y50" s="132"/>
      <c r="Z50" s="343"/>
      <c r="AA50" s="132"/>
      <c r="AB50" s="343">
        <f t="shared" si="2"/>
        <v>0.2549800796812749</v>
      </c>
      <c r="AC50" s="214" t="str">
        <f t="shared" si="3"/>
        <v>OK</v>
      </c>
      <c r="AD50" t="s">
        <v>41</v>
      </c>
      <c r="AE50">
        <v>502</v>
      </c>
      <c r="AG50">
        <v>170</v>
      </c>
      <c r="AH50">
        <v>0.3386454183266932</v>
      </c>
      <c r="AJ50">
        <v>9.0144845276428427</v>
      </c>
      <c r="AL50">
        <v>128</v>
      </c>
      <c r="AM50">
        <v>0.2549800796812749</v>
      </c>
    </row>
    <row r="51" spans="1:50" x14ac:dyDescent="0.25">
      <c r="A51" s="17" t="s">
        <v>42</v>
      </c>
      <c r="B51" s="34">
        <v>338</v>
      </c>
      <c r="C51" s="34">
        <v>109</v>
      </c>
      <c r="D51" s="226">
        <v>0.3224852071005917</v>
      </c>
      <c r="E51" s="34">
        <v>183</v>
      </c>
      <c r="F51" s="226">
        <v>0.54142011834319526</v>
      </c>
      <c r="G51" s="34">
        <v>54</v>
      </c>
      <c r="H51" s="226">
        <v>0.29508196721311475</v>
      </c>
      <c r="I51" s="34">
        <v>361</v>
      </c>
      <c r="J51" s="34">
        <v>142</v>
      </c>
      <c r="K51" s="226">
        <v>0.39335180055401664</v>
      </c>
      <c r="L51" s="34">
        <v>120</v>
      </c>
      <c r="M51" s="34">
        <v>227</v>
      </c>
      <c r="N51" s="226">
        <v>0.62880886426592797</v>
      </c>
      <c r="O51" s="34">
        <v>83</v>
      </c>
      <c r="P51" s="226">
        <v>0.3656387665198238</v>
      </c>
      <c r="Q51" s="34">
        <v>72</v>
      </c>
      <c r="R51" s="299">
        <v>0.33240997229916897</v>
      </c>
      <c r="S51" s="132">
        <v>152</v>
      </c>
      <c r="T51" s="132">
        <v>20</v>
      </c>
      <c r="U51" s="343">
        <f t="shared" si="1"/>
        <v>0.13157894736842105</v>
      </c>
      <c r="V51" s="132">
        <v>56</v>
      </c>
      <c r="W51" s="132">
        <v>69</v>
      </c>
      <c r="X51" s="343">
        <f t="shared" si="0"/>
        <v>0.45394736842105265</v>
      </c>
      <c r="Y51" s="132">
        <v>5</v>
      </c>
      <c r="Z51" s="343">
        <f t="shared" si="4"/>
        <v>7.2463768115942032E-2</v>
      </c>
      <c r="AA51" s="132">
        <v>47</v>
      </c>
      <c r="AB51" s="343">
        <f t="shared" si="2"/>
        <v>0.36842105263157893</v>
      </c>
      <c r="AC51" s="214" t="str">
        <f t="shared" si="3"/>
        <v>OK</v>
      </c>
      <c r="AD51" t="s">
        <v>42</v>
      </c>
      <c r="AE51">
        <v>152</v>
      </c>
      <c r="AG51">
        <v>20</v>
      </c>
      <c r="AH51">
        <v>0.13157894736842105</v>
      </c>
      <c r="AJ51">
        <v>4.8575522710886787</v>
      </c>
      <c r="AL51">
        <v>56</v>
      </c>
      <c r="AM51">
        <v>0.36842105263157893</v>
      </c>
      <c r="AO51">
        <v>69</v>
      </c>
      <c r="AP51">
        <v>0.45394736842105265</v>
      </c>
      <c r="AR51">
        <v>5</v>
      </c>
      <c r="AS51">
        <v>7.2463768115942032E-2</v>
      </c>
      <c r="AU51">
        <v>4.0332340678975553</v>
      </c>
      <c r="AW51">
        <v>47</v>
      </c>
      <c r="AX51">
        <v>0.30921052631578949</v>
      </c>
    </row>
    <row r="52" spans="1:50" x14ac:dyDescent="0.25">
      <c r="A52" s="17"/>
      <c r="B52" s="34"/>
      <c r="C52" s="34"/>
      <c r="D52" s="227"/>
      <c r="E52" s="34"/>
      <c r="F52" s="227"/>
      <c r="G52" s="34"/>
      <c r="H52" s="35"/>
      <c r="I52" s="34"/>
      <c r="J52" s="34"/>
      <c r="K52" s="227"/>
      <c r="L52" s="34"/>
      <c r="M52" s="34"/>
      <c r="N52" s="227"/>
      <c r="O52" s="34"/>
      <c r="P52" s="35"/>
      <c r="Q52" s="34"/>
      <c r="R52" s="34"/>
      <c r="S52" s="34"/>
      <c r="T52" s="34"/>
      <c r="U52" s="227"/>
      <c r="V52" s="34"/>
      <c r="W52" s="34"/>
      <c r="X52" s="227"/>
      <c r="Y52" s="34"/>
      <c r="Z52" s="35"/>
      <c r="AA52" s="34"/>
      <c r="AB52" s="35"/>
    </row>
    <row r="53" spans="1:50" ht="15.75" thickBot="1" x14ac:dyDescent="0.3">
      <c r="A53" s="26" t="s">
        <v>129</v>
      </c>
      <c r="B53" s="29">
        <v>22592</v>
      </c>
      <c r="C53" s="29">
        <v>8315</v>
      </c>
      <c r="D53" s="228">
        <v>0.3680506373937677</v>
      </c>
      <c r="E53" s="29">
        <v>5601</v>
      </c>
      <c r="F53" s="228">
        <v>0.24791961756373937</v>
      </c>
      <c r="G53" s="29">
        <v>1892</v>
      </c>
      <c r="H53" s="228">
        <v>0.33779682199607214</v>
      </c>
      <c r="I53" s="29">
        <v>24040</v>
      </c>
      <c r="J53" s="29">
        <v>9254</v>
      </c>
      <c r="K53" s="228">
        <v>0.38494176372712147</v>
      </c>
      <c r="L53" s="29">
        <v>7336</v>
      </c>
      <c r="M53" s="29">
        <v>5746</v>
      </c>
      <c r="N53" s="228">
        <v>0.23901830282861897</v>
      </c>
      <c r="O53" s="29">
        <v>1954</v>
      </c>
      <c r="P53" s="228">
        <v>0.34006265227984683</v>
      </c>
      <c r="Q53" s="29">
        <v>1783</v>
      </c>
      <c r="R53" s="300">
        <v>0.30515806988352745</v>
      </c>
      <c r="S53" s="131">
        <f>SUM(S6:S51)</f>
        <v>25474</v>
      </c>
      <c r="T53" s="131">
        <f>SUM(T6:T51)</f>
        <v>9896</v>
      </c>
      <c r="U53" s="230">
        <f>T53/S53</f>
        <v>0.38847452304310276</v>
      </c>
      <c r="V53" s="131">
        <f>SUM(V6:V51)</f>
        <v>2985</v>
      </c>
      <c r="W53" s="131">
        <f>SUM(W6:W51)</f>
        <v>5955</v>
      </c>
      <c r="X53" s="230">
        <f>W53/S53</f>
        <v>0.23376776320954698</v>
      </c>
      <c r="Y53" s="131">
        <f>SUM(Y6:Y51)</f>
        <v>2164</v>
      </c>
      <c r="Z53" s="230">
        <f t="shared" ref="Z53" si="5">Y53/W53</f>
        <v>0.363392107472712</v>
      </c>
      <c r="AA53" s="131">
        <f>SUM(AA6:AA51)</f>
        <v>459</v>
      </c>
      <c r="AB53" s="230">
        <f>V53/S53</f>
        <v>0.1171782994425689</v>
      </c>
    </row>
    <row r="54" spans="1:50" ht="15.75" thickTop="1" x14ac:dyDescent="0.25"/>
  </sheetData>
  <sortState ref="AD6:AX60">
    <sortCondition ref="AD6"/>
  </sortState>
  <mergeCells count="2">
    <mergeCell ref="AE3:AN3"/>
    <mergeCell ref="AO3:AX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2"/>
  <sheetViews>
    <sheetView workbookViewId="0">
      <pane xSplit="1" ySplit="5" topLeftCell="Y6" activePane="bottomRight" state="frozen"/>
      <selection activeCell="C8" sqref="C8"/>
      <selection pane="topRight" activeCell="C8" sqref="C8"/>
      <selection pane="bottomLeft" activeCell="C8" sqref="C8"/>
      <selection pane="bottomRight" activeCell="C8" sqref="C8"/>
    </sheetView>
  </sheetViews>
  <sheetFormatPr defaultRowHeight="15" x14ac:dyDescent="0.25"/>
  <cols>
    <col min="1" max="1" width="49.28515625" bestFit="1" customWidth="1"/>
    <col min="2" max="6" width="5.28515625" customWidth="1"/>
    <col min="7" max="7" width="1.7109375" customWidth="1"/>
    <col min="8" max="12" width="5.28515625" customWidth="1"/>
    <col min="13" max="13" width="1.7109375" customWidth="1"/>
    <col min="14" max="18" width="5.28515625" customWidth="1"/>
    <col min="19" max="19" width="1.7109375" customWidth="1"/>
    <col min="20" max="24" width="5.28515625" customWidth="1"/>
    <col min="25" max="25" width="1.7109375" customWidth="1"/>
    <col min="26" max="30" width="5.28515625" customWidth="1"/>
    <col min="31" max="31" width="1.7109375" customWidth="1"/>
    <col min="32" max="36" width="5.28515625" customWidth="1"/>
    <col min="37" max="37" width="1.7109375" customWidth="1"/>
    <col min="38" max="42" width="5.28515625" customWidth="1"/>
    <col min="43" max="43" width="1.7109375" customWidth="1"/>
    <col min="44" max="48" width="5.28515625" customWidth="1"/>
    <col min="49" max="49" width="1.7109375" customWidth="1"/>
    <col min="50" max="54" width="5.28515625" customWidth="1"/>
    <col min="55" max="55" width="1.7109375" customWidth="1"/>
    <col min="56" max="56" width="5.28515625" customWidth="1"/>
  </cols>
  <sheetData>
    <row r="1" spans="1:56" x14ac:dyDescent="0.25">
      <c r="A1" s="30">
        <v>1</v>
      </c>
      <c r="B1" s="30">
        <v>2</v>
      </c>
      <c r="C1" s="30">
        <v>3</v>
      </c>
      <c r="D1" s="30">
        <v>4</v>
      </c>
      <c r="E1" s="30">
        <v>5</v>
      </c>
      <c r="F1" s="30">
        <v>6</v>
      </c>
      <c r="G1" s="30">
        <v>7</v>
      </c>
      <c r="H1" s="30">
        <v>8</v>
      </c>
      <c r="I1" s="30">
        <v>9</v>
      </c>
      <c r="J1" s="30">
        <v>10</v>
      </c>
      <c r="K1" s="30">
        <v>11</v>
      </c>
      <c r="L1" s="30">
        <v>12</v>
      </c>
      <c r="M1" s="30">
        <v>13</v>
      </c>
      <c r="N1" s="30">
        <v>14</v>
      </c>
      <c r="O1" s="30">
        <v>15</v>
      </c>
      <c r="P1" s="30">
        <v>16</v>
      </c>
      <c r="Q1" s="30">
        <v>17</v>
      </c>
      <c r="R1" s="30">
        <v>18</v>
      </c>
      <c r="S1" s="30">
        <v>19</v>
      </c>
      <c r="T1" s="30">
        <v>20</v>
      </c>
      <c r="U1" s="30">
        <v>21</v>
      </c>
      <c r="V1" s="30">
        <v>22</v>
      </c>
      <c r="W1" s="30">
        <v>23</v>
      </c>
      <c r="X1" s="30">
        <v>24</v>
      </c>
      <c r="Y1" s="30">
        <v>25</v>
      </c>
      <c r="Z1" s="30">
        <v>26</v>
      </c>
      <c r="AA1" s="30">
        <v>27</v>
      </c>
      <c r="AB1" s="30">
        <v>28</v>
      </c>
      <c r="AC1" s="30">
        <v>29</v>
      </c>
      <c r="AD1" s="30">
        <v>30</v>
      </c>
      <c r="AE1" s="30">
        <v>31</v>
      </c>
      <c r="AF1" s="30">
        <v>32</v>
      </c>
      <c r="AG1" s="30">
        <v>33</v>
      </c>
      <c r="AH1" s="30">
        <v>34</v>
      </c>
      <c r="AI1" s="30">
        <v>35</v>
      </c>
      <c r="AJ1" s="30">
        <v>36</v>
      </c>
      <c r="AK1" s="30">
        <v>37</v>
      </c>
      <c r="AL1" s="30">
        <v>38</v>
      </c>
      <c r="AM1" s="30">
        <v>39</v>
      </c>
      <c r="AN1" s="30">
        <v>40</v>
      </c>
      <c r="AO1" s="30">
        <v>41</v>
      </c>
      <c r="AP1" s="30">
        <v>42</v>
      </c>
      <c r="AQ1" s="30">
        <v>43</v>
      </c>
      <c r="AR1" s="30">
        <v>44</v>
      </c>
      <c r="AS1" s="30">
        <v>45</v>
      </c>
      <c r="AT1" s="30">
        <v>46</v>
      </c>
      <c r="AU1" s="30">
        <v>47</v>
      </c>
      <c r="AV1" s="30">
        <v>48</v>
      </c>
      <c r="AW1" s="30">
        <v>49</v>
      </c>
      <c r="AX1" s="30">
        <v>50</v>
      </c>
      <c r="AY1" s="30">
        <v>51</v>
      </c>
      <c r="AZ1" s="30">
        <v>52</v>
      </c>
      <c r="BA1" s="30">
        <v>53</v>
      </c>
      <c r="BB1" s="30">
        <v>54</v>
      </c>
      <c r="BC1" s="30">
        <v>55</v>
      </c>
      <c r="BD1" s="30">
        <v>56</v>
      </c>
    </row>
    <row r="2" spans="1:56" ht="15" customHeight="1" x14ac:dyDescent="0.25">
      <c r="B2" s="53" t="s">
        <v>221</v>
      </c>
      <c r="C2" s="53"/>
      <c r="D2" s="53"/>
      <c r="E2" s="53"/>
      <c r="F2" s="53"/>
      <c r="H2" s="53" t="s">
        <v>223</v>
      </c>
      <c r="I2" s="53"/>
      <c r="J2" s="53"/>
      <c r="K2" s="53"/>
      <c r="L2" s="53"/>
      <c r="N2" s="53" t="s">
        <v>224</v>
      </c>
      <c r="O2" s="53"/>
      <c r="P2" s="53"/>
      <c r="Q2" s="53"/>
      <c r="R2" s="53"/>
      <c r="T2" s="53" t="s">
        <v>226</v>
      </c>
      <c r="U2" s="53"/>
      <c r="V2" s="53"/>
      <c r="W2" s="53"/>
      <c r="X2" s="53"/>
      <c r="Z2" s="53" t="s">
        <v>225</v>
      </c>
      <c r="AA2" s="53"/>
      <c r="AB2" s="53"/>
      <c r="AC2" s="53"/>
      <c r="AD2" s="53"/>
      <c r="AF2" s="427" t="s">
        <v>227</v>
      </c>
      <c r="AG2" s="427"/>
      <c r="AH2" s="427"/>
      <c r="AI2" s="427"/>
      <c r="AJ2" s="427"/>
      <c r="AL2" s="53" t="s">
        <v>228</v>
      </c>
      <c r="AM2" s="53"/>
      <c r="AN2" s="53"/>
      <c r="AO2" s="53"/>
      <c r="AP2" s="53"/>
      <c r="AR2" s="427" t="s">
        <v>229</v>
      </c>
      <c r="AS2" s="427"/>
      <c r="AT2" s="427"/>
      <c r="AU2" s="427"/>
      <c r="AV2" s="427"/>
      <c r="AX2" s="427" t="s">
        <v>230</v>
      </c>
      <c r="AY2" s="427"/>
      <c r="AZ2" s="427"/>
      <c r="BA2" s="427"/>
      <c r="BB2" s="427"/>
      <c r="BD2" s="53" t="s">
        <v>236</v>
      </c>
    </row>
    <row r="3" spans="1:56" ht="18" customHeight="1" x14ac:dyDescent="0.25">
      <c r="B3" s="54"/>
      <c r="C3" s="54"/>
      <c r="D3" s="54"/>
      <c r="E3" s="54"/>
      <c r="F3" s="54"/>
      <c r="H3" s="54"/>
      <c r="I3" s="54"/>
      <c r="J3" s="54"/>
      <c r="K3" s="54"/>
      <c r="L3" s="54"/>
      <c r="N3" s="54"/>
      <c r="O3" s="54"/>
      <c r="P3" s="54"/>
      <c r="Q3" s="54"/>
      <c r="R3" s="54"/>
      <c r="T3" s="54"/>
      <c r="U3" s="54"/>
      <c r="V3" s="54"/>
      <c r="W3" s="54"/>
      <c r="X3" s="54"/>
      <c r="Z3" s="54"/>
      <c r="AA3" s="54"/>
      <c r="AB3" s="54"/>
      <c r="AC3" s="54"/>
      <c r="AD3" s="54"/>
      <c r="AF3" s="427"/>
      <c r="AG3" s="427"/>
      <c r="AH3" s="427"/>
      <c r="AI3" s="427"/>
      <c r="AJ3" s="427"/>
      <c r="AL3" s="54"/>
      <c r="AM3" s="54"/>
      <c r="AN3" s="54"/>
      <c r="AO3" s="54"/>
      <c r="AP3" s="54"/>
      <c r="AR3" s="427"/>
      <c r="AS3" s="427"/>
      <c r="AT3" s="427"/>
      <c r="AU3" s="427"/>
      <c r="AV3" s="427"/>
      <c r="AX3" s="427"/>
      <c r="AY3" s="427"/>
      <c r="AZ3" s="427"/>
      <c r="BA3" s="427"/>
      <c r="BB3" s="427"/>
      <c r="BD3" s="287"/>
    </row>
    <row r="4" spans="1:56" ht="18" hidden="1" customHeight="1" x14ac:dyDescent="0.25">
      <c r="B4" s="16"/>
      <c r="C4" s="16"/>
      <c r="D4" s="16"/>
      <c r="E4" s="16"/>
      <c r="F4" s="16"/>
      <c r="H4" s="16"/>
      <c r="I4" s="16"/>
      <c r="J4" s="16"/>
      <c r="K4" s="16"/>
      <c r="L4" s="16"/>
      <c r="N4" s="16"/>
      <c r="O4" s="16"/>
      <c r="P4" s="16"/>
      <c r="Q4" s="16"/>
      <c r="R4" s="16"/>
      <c r="T4" s="16"/>
      <c r="U4" s="16"/>
      <c r="V4" s="16"/>
      <c r="W4" s="16"/>
      <c r="X4" s="16"/>
      <c r="Z4" s="16"/>
      <c r="AA4" s="16"/>
      <c r="AB4" s="16"/>
      <c r="AC4" s="16"/>
      <c r="AD4" s="16"/>
      <c r="AF4" s="16"/>
      <c r="AG4" s="16"/>
      <c r="AH4" s="16"/>
      <c r="AI4" s="16"/>
      <c r="AJ4" s="16"/>
      <c r="AL4" s="16"/>
      <c r="AM4" s="16"/>
      <c r="AN4" s="16"/>
      <c r="AO4" s="16"/>
      <c r="AP4" s="16"/>
      <c r="AR4" s="16"/>
      <c r="AS4" s="16"/>
      <c r="AT4" s="16"/>
      <c r="AU4" s="16"/>
      <c r="AV4" s="16"/>
      <c r="AX4" s="16"/>
      <c r="AY4" s="16"/>
      <c r="AZ4" s="16"/>
      <c r="BA4" s="16"/>
      <c r="BB4" s="16"/>
      <c r="BD4" s="16"/>
    </row>
    <row r="5" spans="1:56" ht="30" customHeight="1" x14ac:dyDescent="0.25">
      <c r="A5" s="41" t="s">
        <v>45</v>
      </c>
      <c r="B5" s="16">
        <v>2015</v>
      </c>
      <c r="C5" s="16">
        <v>2016</v>
      </c>
      <c r="D5" s="16">
        <v>2017</v>
      </c>
      <c r="E5" s="16">
        <v>2018</v>
      </c>
      <c r="F5" s="16">
        <v>2019</v>
      </c>
      <c r="H5" s="16">
        <v>2015</v>
      </c>
      <c r="I5" s="16">
        <v>2016</v>
      </c>
      <c r="J5" s="16">
        <v>2017</v>
      </c>
      <c r="K5" s="16">
        <v>2018</v>
      </c>
      <c r="L5" s="16">
        <v>2019</v>
      </c>
      <c r="N5" s="16">
        <v>2015</v>
      </c>
      <c r="O5" s="16">
        <v>2016</v>
      </c>
      <c r="P5" s="16">
        <v>2017</v>
      </c>
      <c r="Q5" s="16">
        <v>2018</v>
      </c>
      <c r="R5" s="16">
        <v>2019</v>
      </c>
      <c r="T5" s="16">
        <v>2015</v>
      </c>
      <c r="U5" s="16">
        <v>2016</v>
      </c>
      <c r="V5" s="16">
        <v>2017</v>
      </c>
      <c r="W5" s="16">
        <v>2018</v>
      </c>
      <c r="X5" s="16">
        <v>2019</v>
      </c>
      <c r="Z5" s="16">
        <v>2015</v>
      </c>
      <c r="AA5" s="16">
        <v>2016</v>
      </c>
      <c r="AB5" s="16">
        <v>2017</v>
      </c>
      <c r="AC5" s="16">
        <v>2018</v>
      </c>
      <c r="AD5" s="16">
        <v>2019</v>
      </c>
      <c r="AF5" s="16">
        <v>2015</v>
      </c>
      <c r="AG5" s="16">
        <v>2016</v>
      </c>
      <c r="AH5" s="16">
        <v>2017</v>
      </c>
      <c r="AI5" s="16">
        <v>2018</v>
      </c>
      <c r="AJ5" s="16">
        <v>2019</v>
      </c>
      <c r="AL5" s="16">
        <v>2015</v>
      </c>
      <c r="AM5" s="16">
        <v>2016</v>
      </c>
      <c r="AN5" s="16">
        <v>2017</v>
      </c>
      <c r="AO5" s="16">
        <v>2018</v>
      </c>
      <c r="AP5" s="16">
        <v>2019</v>
      </c>
      <c r="AR5" s="16">
        <v>2015</v>
      </c>
      <c r="AS5" s="16">
        <v>2016</v>
      </c>
      <c r="AT5" s="16">
        <v>2017</v>
      </c>
      <c r="AU5" s="16">
        <v>2018</v>
      </c>
      <c r="AV5" s="16">
        <v>2019</v>
      </c>
      <c r="AX5" s="16">
        <v>2015</v>
      </c>
      <c r="AY5" s="16">
        <v>2016</v>
      </c>
      <c r="AZ5" s="16">
        <v>2017</v>
      </c>
      <c r="BA5" s="16">
        <v>2018</v>
      </c>
      <c r="BB5" s="16">
        <v>2019</v>
      </c>
      <c r="BD5" s="16">
        <v>2019</v>
      </c>
    </row>
    <row r="6" spans="1:56" x14ac:dyDescent="0.25">
      <c r="A6" s="17" t="s">
        <v>0</v>
      </c>
      <c r="B6" s="216" t="s">
        <v>67</v>
      </c>
      <c r="C6" s="216" t="s">
        <v>67</v>
      </c>
      <c r="D6" s="216" t="s">
        <v>67</v>
      </c>
      <c r="E6" s="216" t="s">
        <v>67</v>
      </c>
      <c r="F6" s="217" t="s">
        <v>235</v>
      </c>
      <c r="H6" s="216" t="s">
        <v>67</v>
      </c>
      <c r="I6" s="216" t="s">
        <v>67</v>
      </c>
      <c r="J6" s="216" t="s">
        <v>330</v>
      </c>
      <c r="K6" s="216" t="s">
        <v>67</v>
      </c>
      <c r="L6" s="217" t="s">
        <v>330</v>
      </c>
      <c r="N6" s="216" t="s">
        <v>67</v>
      </c>
      <c r="O6" s="216" t="s">
        <v>330</v>
      </c>
      <c r="P6" s="216" t="s">
        <v>67</v>
      </c>
      <c r="Q6" s="216" t="s">
        <v>330</v>
      </c>
      <c r="R6" s="217" t="s">
        <v>235</v>
      </c>
      <c r="T6" s="216" t="s">
        <v>67</v>
      </c>
      <c r="U6" s="216" t="s">
        <v>67</v>
      </c>
      <c r="V6" s="216" t="s">
        <v>67</v>
      </c>
      <c r="W6" s="216" t="s">
        <v>67</v>
      </c>
      <c r="X6" s="217" t="s">
        <v>235</v>
      </c>
      <c r="Z6" s="216" t="s">
        <v>231</v>
      </c>
      <c r="AA6" s="216" t="s">
        <v>67</v>
      </c>
      <c r="AB6" s="216" t="s">
        <v>330</v>
      </c>
      <c r="AC6" s="216" t="s">
        <v>67</v>
      </c>
      <c r="AD6" s="217" t="s">
        <v>330</v>
      </c>
      <c r="AF6" s="216" t="s">
        <v>67</v>
      </c>
      <c r="AG6" s="216" t="s">
        <v>67</v>
      </c>
      <c r="AH6" s="216" t="s">
        <v>67</v>
      </c>
      <c r="AI6" s="216" t="s">
        <v>330</v>
      </c>
      <c r="AJ6" s="217" t="s">
        <v>235</v>
      </c>
      <c r="AL6" s="216" t="s">
        <v>231</v>
      </c>
      <c r="AM6" s="216" t="s">
        <v>67</v>
      </c>
      <c r="AN6" s="216" t="s">
        <v>67</v>
      </c>
      <c r="AO6" s="216" t="s">
        <v>330</v>
      </c>
      <c r="AP6" s="217" t="s">
        <v>235</v>
      </c>
      <c r="AR6" s="216" t="s">
        <v>67</v>
      </c>
      <c r="AS6" s="216" t="s">
        <v>67</v>
      </c>
      <c r="AT6" s="216" t="s">
        <v>330</v>
      </c>
      <c r="AU6" s="216" t="s">
        <v>67</v>
      </c>
      <c r="AV6" s="217" t="s">
        <v>330</v>
      </c>
      <c r="AX6" s="216" t="s">
        <v>67</v>
      </c>
      <c r="AY6" s="216" t="s">
        <v>67</v>
      </c>
      <c r="AZ6" s="216" t="s">
        <v>67</v>
      </c>
      <c r="BA6" s="216" t="s">
        <v>330</v>
      </c>
      <c r="BB6" s="217" t="s">
        <v>235</v>
      </c>
      <c r="BD6" s="217" t="s">
        <v>235</v>
      </c>
    </row>
    <row r="7" spans="1:56" x14ac:dyDescent="0.25">
      <c r="A7" s="17" t="s">
        <v>26</v>
      </c>
      <c r="B7" s="216" t="s">
        <v>222</v>
      </c>
      <c r="C7" s="216" t="s">
        <v>222</v>
      </c>
      <c r="D7" s="216" t="s">
        <v>222</v>
      </c>
      <c r="E7" s="216" t="s">
        <v>67</v>
      </c>
      <c r="F7" s="217" t="s">
        <v>235</v>
      </c>
      <c r="H7" s="216" t="s">
        <v>222</v>
      </c>
      <c r="I7" s="216" t="s">
        <v>67</v>
      </c>
      <c r="J7" s="216" t="s">
        <v>330</v>
      </c>
      <c r="K7" s="216" t="s">
        <v>67</v>
      </c>
      <c r="L7" s="217" t="s">
        <v>330</v>
      </c>
      <c r="N7" s="216" t="s">
        <v>67</v>
      </c>
      <c r="O7" s="216" t="s">
        <v>330</v>
      </c>
      <c r="P7" s="216" t="s">
        <v>67</v>
      </c>
      <c r="Q7" s="216" t="s">
        <v>330</v>
      </c>
      <c r="R7" s="217" t="s">
        <v>235</v>
      </c>
      <c r="T7" s="216" t="s">
        <v>222</v>
      </c>
      <c r="U7" s="216" t="s">
        <v>222</v>
      </c>
      <c r="V7" s="216" t="s">
        <v>67</v>
      </c>
      <c r="W7" s="216" t="s">
        <v>67</v>
      </c>
      <c r="X7" s="217" t="s">
        <v>235</v>
      </c>
      <c r="Z7" s="216" t="s">
        <v>222</v>
      </c>
      <c r="AA7" s="216" t="s">
        <v>67</v>
      </c>
      <c r="AB7" s="216" t="s">
        <v>330</v>
      </c>
      <c r="AC7" s="216" t="s">
        <v>67</v>
      </c>
      <c r="AD7" s="217" t="s">
        <v>330</v>
      </c>
      <c r="AF7" s="216" t="s">
        <v>222</v>
      </c>
      <c r="AG7" s="216" t="s">
        <v>67</v>
      </c>
      <c r="AH7" s="216" t="s">
        <v>67</v>
      </c>
      <c r="AI7" s="216" t="s">
        <v>330</v>
      </c>
      <c r="AJ7" s="217" t="s">
        <v>235</v>
      </c>
      <c r="AL7" s="216" t="s">
        <v>231</v>
      </c>
      <c r="AM7" s="216" t="s">
        <v>231</v>
      </c>
      <c r="AN7" s="216" t="s">
        <v>231</v>
      </c>
      <c r="AO7" s="216" t="s">
        <v>330</v>
      </c>
      <c r="AP7" s="217" t="s">
        <v>235</v>
      </c>
      <c r="AR7" s="216" t="s">
        <v>67</v>
      </c>
      <c r="AS7" s="216" t="s">
        <v>67</v>
      </c>
      <c r="AT7" s="216" t="s">
        <v>330</v>
      </c>
      <c r="AU7" s="216" t="s">
        <v>67</v>
      </c>
      <c r="AV7" s="217" t="s">
        <v>330</v>
      </c>
      <c r="AX7" s="216" t="s">
        <v>67</v>
      </c>
      <c r="AY7" s="216" t="s">
        <v>67</v>
      </c>
      <c r="AZ7" s="216" t="s">
        <v>67</v>
      </c>
      <c r="BA7" s="216" t="s">
        <v>330</v>
      </c>
      <c r="BB7" s="217" t="s">
        <v>235</v>
      </c>
      <c r="BD7" s="217" t="s">
        <v>235</v>
      </c>
    </row>
    <row r="8" spans="1:56" x14ac:dyDescent="0.25">
      <c r="A8" s="17" t="s">
        <v>1</v>
      </c>
      <c r="B8" s="216" t="s">
        <v>67</v>
      </c>
      <c r="C8" s="216" t="s">
        <v>67</v>
      </c>
      <c r="D8" s="216" t="s">
        <v>67</v>
      </c>
      <c r="E8" s="216" t="s">
        <v>67</v>
      </c>
      <c r="F8" s="217" t="s">
        <v>235</v>
      </c>
      <c r="H8" s="216" t="s">
        <v>67</v>
      </c>
      <c r="I8" s="216" t="s">
        <v>67</v>
      </c>
      <c r="J8" s="216" t="s">
        <v>330</v>
      </c>
      <c r="K8" s="216" t="s">
        <v>67</v>
      </c>
      <c r="L8" s="217" t="s">
        <v>330</v>
      </c>
      <c r="N8" s="216" t="s">
        <v>67</v>
      </c>
      <c r="O8" s="216" t="s">
        <v>330</v>
      </c>
      <c r="P8" s="216" t="s">
        <v>67</v>
      </c>
      <c r="Q8" s="216" t="s">
        <v>330</v>
      </c>
      <c r="R8" s="217" t="s">
        <v>235</v>
      </c>
      <c r="T8" s="216" t="s">
        <v>67</v>
      </c>
      <c r="U8" s="216" t="s">
        <v>67</v>
      </c>
      <c r="V8" s="216" t="s">
        <v>67</v>
      </c>
      <c r="W8" s="216" t="s">
        <v>67</v>
      </c>
      <c r="X8" s="217" t="s">
        <v>235</v>
      </c>
      <c r="Z8" s="216" t="s">
        <v>67</v>
      </c>
      <c r="AA8" s="216" t="s">
        <v>67</v>
      </c>
      <c r="AB8" s="216" t="s">
        <v>330</v>
      </c>
      <c r="AC8" s="216" t="s">
        <v>67</v>
      </c>
      <c r="AD8" s="217" t="s">
        <v>330</v>
      </c>
      <c r="AF8" s="216" t="s">
        <v>67</v>
      </c>
      <c r="AG8" s="216" t="s">
        <v>67</v>
      </c>
      <c r="AH8" s="216" t="s">
        <v>67</v>
      </c>
      <c r="AI8" s="216" t="s">
        <v>330</v>
      </c>
      <c r="AJ8" s="217" t="s">
        <v>235</v>
      </c>
      <c r="AL8" s="216" t="s">
        <v>67</v>
      </c>
      <c r="AM8" s="216" t="s">
        <v>67</v>
      </c>
      <c r="AN8" s="216" t="s">
        <v>67</v>
      </c>
      <c r="AO8" s="216" t="s">
        <v>330</v>
      </c>
      <c r="AP8" s="217" t="s">
        <v>235</v>
      </c>
      <c r="AR8" s="216" t="s">
        <v>67</v>
      </c>
      <c r="AS8" s="216" t="s">
        <v>67</v>
      </c>
      <c r="AT8" s="216" t="s">
        <v>330</v>
      </c>
      <c r="AU8" s="216" t="s">
        <v>67</v>
      </c>
      <c r="AV8" s="217" t="s">
        <v>330</v>
      </c>
      <c r="AX8" s="216" t="s">
        <v>67</v>
      </c>
      <c r="AY8" s="216" t="s">
        <v>67</v>
      </c>
      <c r="AZ8" s="216" t="s">
        <v>67</v>
      </c>
      <c r="BA8" s="216" t="s">
        <v>330</v>
      </c>
      <c r="BB8" s="217" t="s">
        <v>235</v>
      </c>
      <c r="BD8" s="217" t="s">
        <v>235</v>
      </c>
    </row>
    <row r="9" spans="1:56" x14ac:dyDescent="0.25">
      <c r="A9" s="17" t="s">
        <v>2</v>
      </c>
      <c r="B9" s="216" t="s">
        <v>67</v>
      </c>
      <c r="C9" s="216" t="s">
        <v>67</v>
      </c>
      <c r="D9" s="216" t="s">
        <v>67</v>
      </c>
      <c r="E9" s="216" t="s">
        <v>67</v>
      </c>
      <c r="F9" s="217" t="s">
        <v>235</v>
      </c>
      <c r="H9" s="216" t="s">
        <v>67</v>
      </c>
      <c r="I9" s="216" t="s">
        <v>67</v>
      </c>
      <c r="J9" s="216" t="s">
        <v>330</v>
      </c>
      <c r="K9" s="216" t="s">
        <v>67</v>
      </c>
      <c r="L9" s="217" t="s">
        <v>330</v>
      </c>
      <c r="N9" s="216" t="s">
        <v>67</v>
      </c>
      <c r="O9" s="216" t="s">
        <v>330</v>
      </c>
      <c r="P9" s="216" t="s">
        <v>67</v>
      </c>
      <c r="Q9" s="216" t="s">
        <v>330</v>
      </c>
      <c r="R9" s="217" t="s">
        <v>235</v>
      </c>
      <c r="T9" s="216" t="s">
        <v>67</v>
      </c>
      <c r="U9" s="216" t="s">
        <v>67</v>
      </c>
      <c r="V9" s="216" t="s">
        <v>67</v>
      </c>
      <c r="W9" s="216" t="s">
        <v>67</v>
      </c>
      <c r="X9" s="217" t="s">
        <v>235</v>
      </c>
      <c r="Z9" s="216" t="s">
        <v>67</v>
      </c>
      <c r="AA9" s="216" t="s">
        <v>67</v>
      </c>
      <c r="AB9" s="216" t="s">
        <v>330</v>
      </c>
      <c r="AC9" s="216" t="s">
        <v>67</v>
      </c>
      <c r="AD9" s="217" t="s">
        <v>330</v>
      </c>
      <c r="AF9" s="216" t="s">
        <v>67</v>
      </c>
      <c r="AG9" s="216" t="s">
        <v>67</v>
      </c>
      <c r="AH9" s="216" t="s">
        <v>67</v>
      </c>
      <c r="AI9" s="216" t="s">
        <v>330</v>
      </c>
      <c r="AJ9" s="217" t="s">
        <v>235</v>
      </c>
      <c r="AL9" s="216" t="s">
        <v>67</v>
      </c>
      <c r="AM9" s="216" t="s">
        <v>67</v>
      </c>
      <c r="AN9" s="216" t="s">
        <v>67</v>
      </c>
      <c r="AO9" s="216" t="s">
        <v>330</v>
      </c>
      <c r="AP9" s="217" t="s">
        <v>235</v>
      </c>
      <c r="AR9" s="216" t="s">
        <v>67</v>
      </c>
      <c r="AS9" s="216" t="s">
        <v>67</v>
      </c>
      <c r="AT9" s="216" t="s">
        <v>330</v>
      </c>
      <c r="AU9" s="216" t="s">
        <v>67</v>
      </c>
      <c r="AV9" s="217" t="s">
        <v>330</v>
      </c>
      <c r="AX9" s="216" t="s">
        <v>67</v>
      </c>
      <c r="AY9" s="216" t="s">
        <v>67</v>
      </c>
      <c r="AZ9" s="216" t="s">
        <v>67</v>
      </c>
      <c r="BA9" s="216" t="s">
        <v>330</v>
      </c>
      <c r="BB9" s="217" t="s">
        <v>235</v>
      </c>
      <c r="BD9" s="217" t="s">
        <v>235</v>
      </c>
    </row>
    <row r="10" spans="1:56" x14ac:dyDescent="0.25">
      <c r="A10" s="17" t="s">
        <v>3</v>
      </c>
      <c r="B10" s="216" t="s">
        <v>67</v>
      </c>
      <c r="C10" s="216" t="s">
        <v>67</v>
      </c>
      <c r="D10" s="216" t="s">
        <v>67</v>
      </c>
      <c r="E10" s="216" t="s">
        <v>67</v>
      </c>
      <c r="F10" s="217" t="s">
        <v>235</v>
      </c>
      <c r="H10" s="216" t="s">
        <v>67</v>
      </c>
      <c r="I10" s="216" t="s">
        <v>67</v>
      </c>
      <c r="J10" s="216" t="s">
        <v>330</v>
      </c>
      <c r="K10" s="216" t="s">
        <v>67</v>
      </c>
      <c r="L10" s="217" t="s">
        <v>330</v>
      </c>
      <c r="N10" s="216" t="s">
        <v>67</v>
      </c>
      <c r="O10" s="216" t="s">
        <v>330</v>
      </c>
      <c r="P10" s="216" t="s">
        <v>67</v>
      </c>
      <c r="Q10" s="216" t="s">
        <v>330</v>
      </c>
      <c r="R10" s="217" t="s">
        <v>235</v>
      </c>
      <c r="T10" s="216" t="s">
        <v>67</v>
      </c>
      <c r="U10" s="216" t="s">
        <v>67</v>
      </c>
      <c r="V10" s="216" t="s">
        <v>67</v>
      </c>
      <c r="W10" s="216" t="s">
        <v>67</v>
      </c>
      <c r="X10" s="217" t="s">
        <v>235</v>
      </c>
      <c r="Z10" s="216" t="s">
        <v>67</v>
      </c>
      <c r="AA10" s="216" t="s">
        <v>67</v>
      </c>
      <c r="AB10" s="216" t="s">
        <v>330</v>
      </c>
      <c r="AC10" s="216" t="s">
        <v>67</v>
      </c>
      <c r="AD10" s="217" t="s">
        <v>330</v>
      </c>
      <c r="AF10" s="216" t="s">
        <v>222</v>
      </c>
      <c r="AG10" s="216" t="s">
        <v>67</v>
      </c>
      <c r="AH10" s="216" t="s">
        <v>67</v>
      </c>
      <c r="AI10" s="216" t="s">
        <v>330</v>
      </c>
      <c r="AJ10" s="217" t="s">
        <v>235</v>
      </c>
      <c r="AL10" s="216" t="s">
        <v>67</v>
      </c>
      <c r="AM10" s="216" t="s">
        <v>67</v>
      </c>
      <c r="AN10" s="216" t="s">
        <v>67</v>
      </c>
      <c r="AO10" s="216" t="s">
        <v>330</v>
      </c>
      <c r="AP10" s="217" t="s">
        <v>235</v>
      </c>
      <c r="AR10" s="216" t="s">
        <v>67</v>
      </c>
      <c r="AS10" s="216" t="s">
        <v>67</v>
      </c>
      <c r="AT10" s="216" t="s">
        <v>330</v>
      </c>
      <c r="AU10" s="216" t="s">
        <v>67</v>
      </c>
      <c r="AV10" s="217" t="s">
        <v>330</v>
      </c>
      <c r="AX10" s="216" t="s">
        <v>67</v>
      </c>
      <c r="AY10" s="216" t="s">
        <v>67</v>
      </c>
      <c r="AZ10" s="216" t="s">
        <v>67</v>
      </c>
      <c r="BA10" s="216" t="s">
        <v>330</v>
      </c>
      <c r="BB10" s="217" t="s">
        <v>235</v>
      </c>
      <c r="BD10" s="217" t="s">
        <v>235</v>
      </c>
    </row>
    <row r="11" spans="1:56" x14ac:dyDescent="0.25">
      <c r="A11" s="17" t="s">
        <v>33</v>
      </c>
      <c r="B11" s="216" t="s">
        <v>67</v>
      </c>
      <c r="C11" s="216" t="s">
        <v>67</v>
      </c>
      <c r="D11" s="216" t="s">
        <v>67</v>
      </c>
      <c r="E11" s="216" t="s">
        <v>67</v>
      </c>
      <c r="F11" s="217" t="s">
        <v>235</v>
      </c>
      <c r="H11" s="216" t="s">
        <v>67</v>
      </c>
      <c r="I11" s="216" t="s">
        <v>67</v>
      </c>
      <c r="J11" s="216" t="s">
        <v>330</v>
      </c>
      <c r="K11" s="216" t="s">
        <v>67</v>
      </c>
      <c r="L11" s="217" t="s">
        <v>330</v>
      </c>
      <c r="N11" s="216" t="s">
        <v>67</v>
      </c>
      <c r="O11" s="216" t="s">
        <v>330</v>
      </c>
      <c r="P11" s="216" t="s">
        <v>67</v>
      </c>
      <c r="Q11" s="216" t="s">
        <v>330</v>
      </c>
      <c r="R11" s="217" t="s">
        <v>235</v>
      </c>
      <c r="T11" s="216" t="s">
        <v>67</v>
      </c>
      <c r="U11" s="216" t="s">
        <v>67</v>
      </c>
      <c r="V11" s="216" t="s">
        <v>67</v>
      </c>
      <c r="W11" s="216" t="s">
        <v>231</v>
      </c>
      <c r="X11" s="217" t="s">
        <v>235</v>
      </c>
      <c r="Z11" s="216" t="s">
        <v>231</v>
      </c>
      <c r="AA11" s="216" t="s">
        <v>231</v>
      </c>
      <c r="AB11" s="216" t="s">
        <v>330</v>
      </c>
      <c r="AC11" s="216" t="s">
        <v>231</v>
      </c>
      <c r="AD11" s="217" t="s">
        <v>330</v>
      </c>
      <c r="AF11" s="216" t="s">
        <v>67</v>
      </c>
      <c r="AG11" s="216" t="s">
        <v>67</v>
      </c>
      <c r="AH11" s="216" t="s">
        <v>67</v>
      </c>
      <c r="AI11" s="216" t="s">
        <v>330</v>
      </c>
      <c r="AJ11" s="217" t="s">
        <v>235</v>
      </c>
      <c r="AL11" s="216" t="s">
        <v>231</v>
      </c>
      <c r="AM11" s="216" t="s">
        <v>231</v>
      </c>
      <c r="AN11" s="216" t="s">
        <v>231</v>
      </c>
      <c r="AO11" s="216" t="s">
        <v>330</v>
      </c>
      <c r="AP11" s="217" t="s">
        <v>235</v>
      </c>
      <c r="AR11" s="216" t="s">
        <v>231</v>
      </c>
      <c r="AS11" s="216" t="s">
        <v>231</v>
      </c>
      <c r="AT11" s="216" t="s">
        <v>330</v>
      </c>
      <c r="AU11" s="216" t="s">
        <v>231</v>
      </c>
      <c r="AV11" s="217" t="s">
        <v>330</v>
      </c>
      <c r="AX11" s="216" t="s">
        <v>231</v>
      </c>
      <c r="AY11" s="216" t="s">
        <v>231</v>
      </c>
      <c r="AZ11" s="216" t="s">
        <v>231</v>
      </c>
      <c r="BA11" s="216" t="s">
        <v>330</v>
      </c>
      <c r="BB11" s="217" t="s">
        <v>235</v>
      </c>
      <c r="BD11" s="217" t="s">
        <v>235</v>
      </c>
    </row>
    <row r="12" spans="1:56" x14ac:dyDescent="0.25">
      <c r="A12" s="17" t="s">
        <v>23</v>
      </c>
      <c r="B12" s="216" t="s">
        <v>67</v>
      </c>
      <c r="C12" s="216" t="s">
        <v>67</v>
      </c>
      <c r="D12" s="216" t="s">
        <v>67</v>
      </c>
      <c r="E12" s="216" t="s">
        <v>67</v>
      </c>
      <c r="F12" s="217" t="s">
        <v>235</v>
      </c>
      <c r="H12" s="216" t="s">
        <v>67</v>
      </c>
      <c r="I12" s="216" t="s">
        <v>67</v>
      </c>
      <c r="J12" s="216" t="s">
        <v>330</v>
      </c>
      <c r="K12" s="216" t="s">
        <v>67</v>
      </c>
      <c r="L12" s="217" t="s">
        <v>330</v>
      </c>
      <c r="N12" s="216" t="s">
        <v>67</v>
      </c>
      <c r="O12" s="216" t="s">
        <v>330</v>
      </c>
      <c r="P12" s="216" t="s">
        <v>67</v>
      </c>
      <c r="Q12" s="216" t="s">
        <v>330</v>
      </c>
      <c r="R12" s="217" t="s">
        <v>235</v>
      </c>
      <c r="T12" s="216" t="s">
        <v>67</v>
      </c>
      <c r="U12" s="216" t="s">
        <v>67</v>
      </c>
      <c r="V12" s="216" t="s">
        <v>67</v>
      </c>
      <c r="W12" s="216" t="s">
        <v>67</v>
      </c>
      <c r="X12" s="217" t="s">
        <v>235</v>
      </c>
      <c r="Z12" s="216" t="s">
        <v>67</v>
      </c>
      <c r="AA12" s="216" t="s">
        <v>67</v>
      </c>
      <c r="AB12" s="216" t="s">
        <v>330</v>
      </c>
      <c r="AC12" s="216" t="s">
        <v>67</v>
      </c>
      <c r="AD12" s="217" t="s">
        <v>330</v>
      </c>
      <c r="AF12" s="216" t="s">
        <v>67</v>
      </c>
      <c r="AG12" s="216" t="s">
        <v>67</v>
      </c>
      <c r="AH12" s="216" t="s">
        <v>67</v>
      </c>
      <c r="AI12" s="216" t="s">
        <v>330</v>
      </c>
      <c r="AJ12" s="217" t="s">
        <v>235</v>
      </c>
      <c r="AL12" s="216" t="s">
        <v>231</v>
      </c>
      <c r="AM12" s="216" t="s">
        <v>231</v>
      </c>
      <c r="AN12" s="216" t="s">
        <v>231</v>
      </c>
      <c r="AO12" s="216" t="s">
        <v>330</v>
      </c>
      <c r="AP12" s="217" t="s">
        <v>235</v>
      </c>
      <c r="AR12" s="216" t="s">
        <v>67</v>
      </c>
      <c r="AS12" s="216" t="s">
        <v>231</v>
      </c>
      <c r="AT12" s="216" t="s">
        <v>330</v>
      </c>
      <c r="AU12" s="216" t="s">
        <v>67</v>
      </c>
      <c r="AV12" s="217" t="s">
        <v>330</v>
      </c>
      <c r="AX12" s="216" t="s">
        <v>67</v>
      </c>
      <c r="AY12" s="216" t="s">
        <v>67</v>
      </c>
      <c r="AZ12" s="216" t="s">
        <v>67</v>
      </c>
      <c r="BA12" s="216" t="s">
        <v>330</v>
      </c>
      <c r="BB12" s="217" t="s">
        <v>235</v>
      </c>
      <c r="BD12" s="217" t="s">
        <v>235</v>
      </c>
    </row>
    <row r="13" spans="1:56" x14ac:dyDescent="0.25">
      <c r="A13" s="17" t="s">
        <v>4</v>
      </c>
      <c r="B13" s="216" t="s">
        <v>67</v>
      </c>
      <c r="C13" s="216" t="s">
        <v>222</v>
      </c>
      <c r="D13" s="216" t="s">
        <v>67</v>
      </c>
      <c r="E13" s="216" t="s">
        <v>67</v>
      </c>
      <c r="F13" s="217" t="s">
        <v>235</v>
      </c>
      <c r="H13" s="216" t="s">
        <v>67</v>
      </c>
      <c r="I13" s="216" t="s">
        <v>67</v>
      </c>
      <c r="J13" s="216" t="s">
        <v>330</v>
      </c>
      <c r="K13" s="216" t="s">
        <v>67</v>
      </c>
      <c r="L13" s="217" t="s">
        <v>330</v>
      </c>
      <c r="N13" s="216" t="s">
        <v>67</v>
      </c>
      <c r="O13" s="216" t="s">
        <v>330</v>
      </c>
      <c r="P13" s="216" t="s">
        <v>67</v>
      </c>
      <c r="Q13" s="216" t="s">
        <v>330</v>
      </c>
      <c r="R13" s="217" t="s">
        <v>235</v>
      </c>
      <c r="T13" s="216" t="s">
        <v>67</v>
      </c>
      <c r="U13" s="216" t="s">
        <v>222</v>
      </c>
      <c r="V13" s="216" t="s">
        <v>67</v>
      </c>
      <c r="W13" s="216" t="s">
        <v>67</v>
      </c>
      <c r="X13" s="217" t="s">
        <v>235</v>
      </c>
      <c r="Z13" s="216" t="s">
        <v>67</v>
      </c>
      <c r="AA13" s="216" t="s">
        <v>222</v>
      </c>
      <c r="AB13" s="216" t="s">
        <v>330</v>
      </c>
      <c r="AC13" s="216" t="s">
        <v>222</v>
      </c>
      <c r="AD13" s="217" t="s">
        <v>330</v>
      </c>
      <c r="AF13" s="216" t="s">
        <v>67</v>
      </c>
      <c r="AG13" s="216" t="s">
        <v>67</v>
      </c>
      <c r="AH13" s="216" t="s">
        <v>67</v>
      </c>
      <c r="AI13" s="216" t="s">
        <v>330</v>
      </c>
      <c r="AJ13" s="217" t="s">
        <v>235</v>
      </c>
      <c r="AL13" s="216" t="s">
        <v>67</v>
      </c>
      <c r="AM13" s="216" t="s">
        <v>67</v>
      </c>
      <c r="AN13" s="216" t="s">
        <v>67</v>
      </c>
      <c r="AO13" s="216" t="s">
        <v>330</v>
      </c>
      <c r="AP13" s="217" t="s">
        <v>235</v>
      </c>
      <c r="AR13" s="216" t="s">
        <v>67</v>
      </c>
      <c r="AS13" s="216" t="s">
        <v>67</v>
      </c>
      <c r="AT13" s="216" t="s">
        <v>330</v>
      </c>
      <c r="AU13" s="216" t="s">
        <v>67</v>
      </c>
      <c r="AV13" s="217" t="s">
        <v>330</v>
      </c>
      <c r="AX13" s="216" t="s">
        <v>67</v>
      </c>
      <c r="AY13" s="216" t="s">
        <v>222</v>
      </c>
      <c r="AZ13" s="216" t="s">
        <v>67</v>
      </c>
      <c r="BA13" s="216" t="s">
        <v>330</v>
      </c>
      <c r="BB13" s="217" t="s">
        <v>235</v>
      </c>
      <c r="BD13" s="217" t="s">
        <v>235</v>
      </c>
    </row>
    <row r="14" spans="1:56" x14ac:dyDescent="0.25">
      <c r="A14" s="17" t="s">
        <v>28</v>
      </c>
      <c r="B14" s="216" t="s">
        <v>222</v>
      </c>
      <c r="C14" s="216" t="s">
        <v>222</v>
      </c>
      <c r="D14" s="216" t="s">
        <v>222</v>
      </c>
      <c r="E14" s="216" t="s">
        <v>222</v>
      </c>
      <c r="F14" s="217" t="s">
        <v>235</v>
      </c>
      <c r="H14" s="216" t="s">
        <v>67</v>
      </c>
      <c r="I14" s="216" t="s">
        <v>67</v>
      </c>
      <c r="J14" s="216" t="s">
        <v>330</v>
      </c>
      <c r="K14" s="216" t="s">
        <v>222</v>
      </c>
      <c r="L14" s="217" t="s">
        <v>330</v>
      </c>
      <c r="N14" s="216" t="s">
        <v>67</v>
      </c>
      <c r="O14" s="216" t="s">
        <v>330</v>
      </c>
      <c r="P14" s="216" t="s">
        <v>67</v>
      </c>
      <c r="Q14" s="216" t="s">
        <v>330</v>
      </c>
      <c r="R14" s="217" t="s">
        <v>235</v>
      </c>
      <c r="T14" s="216" t="s">
        <v>67</v>
      </c>
      <c r="U14" s="216" t="s">
        <v>67</v>
      </c>
      <c r="V14" s="216" t="s">
        <v>67</v>
      </c>
      <c r="W14" s="216" t="s">
        <v>67</v>
      </c>
      <c r="X14" s="217" t="s">
        <v>235</v>
      </c>
      <c r="Z14" s="216" t="s">
        <v>222</v>
      </c>
      <c r="AA14" s="216" t="s">
        <v>67</v>
      </c>
      <c r="AB14" s="216" t="s">
        <v>330</v>
      </c>
      <c r="AC14" s="216" t="s">
        <v>67</v>
      </c>
      <c r="AD14" s="217" t="s">
        <v>330</v>
      </c>
      <c r="AF14" s="216" t="s">
        <v>67</v>
      </c>
      <c r="AG14" s="216" t="s">
        <v>222</v>
      </c>
      <c r="AH14" s="216" t="s">
        <v>222</v>
      </c>
      <c r="AI14" s="216" t="s">
        <v>330</v>
      </c>
      <c r="AJ14" s="217" t="s">
        <v>235</v>
      </c>
      <c r="AL14" s="216" t="s">
        <v>231</v>
      </c>
      <c r="AM14" s="216" t="s">
        <v>231</v>
      </c>
      <c r="AN14" s="216" t="s">
        <v>231</v>
      </c>
      <c r="AO14" s="216" t="s">
        <v>330</v>
      </c>
      <c r="AP14" s="217" t="s">
        <v>235</v>
      </c>
      <c r="AR14" s="216" t="s">
        <v>231</v>
      </c>
      <c r="AS14" s="216" t="s">
        <v>231</v>
      </c>
      <c r="AT14" s="216" t="s">
        <v>330</v>
      </c>
      <c r="AU14" s="216" t="s">
        <v>231</v>
      </c>
      <c r="AV14" s="217" t="s">
        <v>330</v>
      </c>
      <c r="AX14" s="216" t="s">
        <v>67</v>
      </c>
      <c r="AY14" s="216" t="s">
        <v>67</v>
      </c>
      <c r="AZ14" s="216" t="s">
        <v>67</v>
      </c>
      <c r="BA14" s="216" t="s">
        <v>330</v>
      </c>
      <c r="BB14" s="217" t="s">
        <v>235</v>
      </c>
      <c r="BD14" s="217" t="s">
        <v>235</v>
      </c>
    </row>
    <row r="15" spans="1:56" x14ac:dyDescent="0.25">
      <c r="A15" s="17" t="s">
        <v>29</v>
      </c>
      <c r="B15" s="216" t="s">
        <v>67</v>
      </c>
      <c r="C15" s="216" t="s">
        <v>67</v>
      </c>
      <c r="D15" s="216" t="s">
        <v>67</v>
      </c>
      <c r="E15" s="216" t="s">
        <v>67</v>
      </c>
      <c r="F15" s="217" t="s">
        <v>235</v>
      </c>
      <c r="H15" s="216" t="s">
        <v>67</v>
      </c>
      <c r="I15" s="216" t="s">
        <v>67</v>
      </c>
      <c r="J15" s="216" t="s">
        <v>330</v>
      </c>
      <c r="K15" s="216" t="s">
        <v>67</v>
      </c>
      <c r="L15" s="217" t="s">
        <v>330</v>
      </c>
      <c r="N15" s="216" t="s">
        <v>67</v>
      </c>
      <c r="O15" s="216" t="s">
        <v>330</v>
      </c>
      <c r="P15" s="216" t="s">
        <v>67</v>
      </c>
      <c r="Q15" s="216" t="s">
        <v>330</v>
      </c>
      <c r="R15" s="217" t="s">
        <v>235</v>
      </c>
      <c r="T15" s="216" t="s">
        <v>67</v>
      </c>
      <c r="U15" s="216" t="s">
        <v>67</v>
      </c>
      <c r="V15" s="216" t="s">
        <v>67</v>
      </c>
      <c r="W15" s="216" t="s">
        <v>67</v>
      </c>
      <c r="X15" s="217" t="s">
        <v>235</v>
      </c>
      <c r="Z15" s="216" t="s">
        <v>67</v>
      </c>
      <c r="AA15" s="216" t="s">
        <v>67</v>
      </c>
      <c r="AB15" s="216" t="s">
        <v>330</v>
      </c>
      <c r="AC15" s="216" t="s">
        <v>67</v>
      </c>
      <c r="AD15" s="217" t="s">
        <v>330</v>
      </c>
      <c r="AF15" s="216" t="s">
        <v>67</v>
      </c>
      <c r="AG15" s="216" t="s">
        <v>67</v>
      </c>
      <c r="AH15" s="216" t="s">
        <v>67</v>
      </c>
      <c r="AI15" s="216" t="s">
        <v>330</v>
      </c>
      <c r="AJ15" s="217" t="s">
        <v>235</v>
      </c>
      <c r="AL15" s="216" t="s">
        <v>231</v>
      </c>
      <c r="AM15" s="216" t="s">
        <v>231</v>
      </c>
      <c r="AN15" s="216" t="s">
        <v>231</v>
      </c>
      <c r="AO15" s="216" t="s">
        <v>330</v>
      </c>
      <c r="AP15" s="217" t="s">
        <v>235</v>
      </c>
      <c r="AR15" s="216" t="s">
        <v>231</v>
      </c>
      <c r="AS15" s="216" t="s">
        <v>231</v>
      </c>
      <c r="AT15" s="216" t="s">
        <v>330</v>
      </c>
      <c r="AU15" s="216" t="s">
        <v>231</v>
      </c>
      <c r="AV15" s="217" t="s">
        <v>330</v>
      </c>
      <c r="AX15" s="216" t="s">
        <v>231</v>
      </c>
      <c r="AY15" s="216" t="s">
        <v>231</v>
      </c>
      <c r="AZ15" s="216" t="s">
        <v>231</v>
      </c>
      <c r="BA15" s="216" t="s">
        <v>330</v>
      </c>
      <c r="BB15" s="217" t="s">
        <v>235</v>
      </c>
      <c r="BD15" s="217" t="s">
        <v>235</v>
      </c>
    </row>
    <row r="16" spans="1:56" x14ac:dyDescent="0.25">
      <c r="A16" s="17" t="s">
        <v>5</v>
      </c>
      <c r="B16" s="216" t="s">
        <v>67</v>
      </c>
      <c r="C16" s="216" t="s">
        <v>67</v>
      </c>
      <c r="D16" s="216" t="s">
        <v>67</v>
      </c>
      <c r="E16" s="216" t="s">
        <v>67</v>
      </c>
      <c r="F16" s="217" t="s">
        <v>235</v>
      </c>
      <c r="H16" s="216" t="s">
        <v>67</v>
      </c>
      <c r="I16" s="216" t="s">
        <v>67</v>
      </c>
      <c r="J16" s="216" t="s">
        <v>330</v>
      </c>
      <c r="K16" s="216" t="s">
        <v>67</v>
      </c>
      <c r="L16" s="217" t="s">
        <v>330</v>
      </c>
      <c r="N16" s="216" t="s">
        <v>67</v>
      </c>
      <c r="O16" s="216" t="s">
        <v>330</v>
      </c>
      <c r="P16" s="216" t="s">
        <v>67</v>
      </c>
      <c r="Q16" s="216" t="s">
        <v>330</v>
      </c>
      <c r="R16" s="217" t="s">
        <v>235</v>
      </c>
      <c r="T16" s="216" t="s">
        <v>67</v>
      </c>
      <c r="U16" s="216" t="s">
        <v>67</v>
      </c>
      <c r="V16" s="216" t="s">
        <v>67</v>
      </c>
      <c r="W16" s="216" t="s">
        <v>67</v>
      </c>
      <c r="X16" s="217" t="s">
        <v>235</v>
      </c>
      <c r="Z16" s="216" t="s">
        <v>67</v>
      </c>
      <c r="AA16" s="216" t="s">
        <v>67</v>
      </c>
      <c r="AB16" s="216" t="s">
        <v>330</v>
      </c>
      <c r="AC16" s="216" t="s">
        <v>67</v>
      </c>
      <c r="AD16" s="217" t="s">
        <v>330</v>
      </c>
      <c r="AF16" s="216" t="s">
        <v>67</v>
      </c>
      <c r="AG16" s="216" t="s">
        <v>67</v>
      </c>
      <c r="AH16" s="216" t="s">
        <v>67</v>
      </c>
      <c r="AI16" s="216" t="s">
        <v>330</v>
      </c>
      <c r="AJ16" s="217" t="s">
        <v>235</v>
      </c>
      <c r="AL16" s="216" t="s">
        <v>67</v>
      </c>
      <c r="AM16" s="216" t="s">
        <v>67</v>
      </c>
      <c r="AN16" s="216" t="s">
        <v>67</v>
      </c>
      <c r="AO16" s="216" t="s">
        <v>330</v>
      </c>
      <c r="AP16" s="217" t="s">
        <v>235</v>
      </c>
      <c r="AR16" s="216" t="s">
        <v>67</v>
      </c>
      <c r="AS16" s="216" t="s">
        <v>67</v>
      </c>
      <c r="AT16" s="216" t="s">
        <v>330</v>
      </c>
      <c r="AU16" s="216" t="s">
        <v>67</v>
      </c>
      <c r="AV16" s="217" t="s">
        <v>330</v>
      </c>
      <c r="AX16" s="216" t="s">
        <v>67</v>
      </c>
      <c r="AY16" s="216" t="s">
        <v>67</v>
      </c>
      <c r="AZ16" s="216" t="s">
        <v>67</v>
      </c>
      <c r="BA16" s="216" t="s">
        <v>330</v>
      </c>
      <c r="BB16" s="217" t="s">
        <v>235</v>
      </c>
      <c r="BD16" s="217" t="s">
        <v>235</v>
      </c>
    </row>
    <row r="17" spans="1:56" x14ac:dyDescent="0.25">
      <c r="A17" s="17" t="s">
        <v>22</v>
      </c>
      <c r="B17" s="216" t="s">
        <v>67</v>
      </c>
      <c r="C17" s="216" t="s">
        <v>67</v>
      </c>
      <c r="D17" s="216" t="s">
        <v>67</v>
      </c>
      <c r="E17" s="216" t="s">
        <v>67</v>
      </c>
      <c r="F17" s="217" t="s">
        <v>235</v>
      </c>
      <c r="H17" s="216" t="s">
        <v>67</v>
      </c>
      <c r="I17" s="216" t="s">
        <v>67</v>
      </c>
      <c r="J17" s="216" t="s">
        <v>330</v>
      </c>
      <c r="K17" s="216" t="s">
        <v>67</v>
      </c>
      <c r="L17" s="217" t="s">
        <v>330</v>
      </c>
      <c r="N17" s="216" t="s">
        <v>67</v>
      </c>
      <c r="O17" s="216" t="s">
        <v>330</v>
      </c>
      <c r="P17" s="216" t="s">
        <v>67</v>
      </c>
      <c r="Q17" s="216" t="s">
        <v>330</v>
      </c>
      <c r="R17" s="217" t="s">
        <v>235</v>
      </c>
      <c r="T17" s="216" t="s">
        <v>67</v>
      </c>
      <c r="U17" s="216" t="s">
        <v>67</v>
      </c>
      <c r="V17" s="216" t="s">
        <v>67</v>
      </c>
      <c r="W17" s="216" t="s">
        <v>67</v>
      </c>
      <c r="X17" s="217" t="s">
        <v>235</v>
      </c>
      <c r="Z17" s="216" t="s">
        <v>67</v>
      </c>
      <c r="AA17" s="216" t="s">
        <v>67</v>
      </c>
      <c r="AB17" s="216" t="s">
        <v>330</v>
      </c>
      <c r="AC17" s="216" t="s">
        <v>67</v>
      </c>
      <c r="AD17" s="217" t="s">
        <v>330</v>
      </c>
      <c r="AF17" s="216" t="s">
        <v>67</v>
      </c>
      <c r="AG17" s="216" t="s">
        <v>67</v>
      </c>
      <c r="AH17" s="216" t="s">
        <v>67</v>
      </c>
      <c r="AI17" s="216" t="s">
        <v>330</v>
      </c>
      <c r="AJ17" s="217" t="s">
        <v>235</v>
      </c>
      <c r="AL17" s="216" t="s">
        <v>231</v>
      </c>
      <c r="AM17" s="216" t="s">
        <v>67</v>
      </c>
      <c r="AN17" s="216" t="s">
        <v>231</v>
      </c>
      <c r="AO17" s="216" t="s">
        <v>330</v>
      </c>
      <c r="AP17" s="217" t="s">
        <v>235</v>
      </c>
      <c r="AR17" s="216" t="s">
        <v>231</v>
      </c>
      <c r="AS17" s="216" t="s">
        <v>67</v>
      </c>
      <c r="AT17" s="216" t="s">
        <v>330</v>
      </c>
      <c r="AU17" s="216" t="s">
        <v>67</v>
      </c>
      <c r="AV17" s="217" t="s">
        <v>330</v>
      </c>
      <c r="AX17" s="216" t="s">
        <v>67</v>
      </c>
      <c r="AY17" s="216" t="s">
        <v>67</v>
      </c>
      <c r="AZ17" s="216" t="s">
        <v>67</v>
      </c>
      <c r="BA17" s="216" t="s">
        <v>330</v>
      </c>
      <c r="BB17" s="217" t="s">
        <v>235</v>
      </c>
      <c r="BD17" s="217" t="s">
        <v>235</v>
      </c>
    </row>
    <row r="18" spans="1:56" x14ac:dyDescent="0.25">
      <c r="A18" s="17" t="s">
        <v>7</v>
      </c>
      <c r="B18" s="216" t="s">
        <v>67</v>
      </c>
      <c r="C18" s="216" t="s">
        <v>67</v>
      </c>
      <c r="D18" s="216" t="s">
        <v>67</v>
      </c>
      <c r="E18" s="216" t="s">
        <v>67</v>
      </c>
      <c r="F18" s="217" t="s">
        <v>235</v>
      </c>
      <c r="H18" s="216" t="s">
        <v>67</v>
      </c>
      <c r="I18" s="216" t="s">
        <v>222</v>
      </c>
      <c r="J18" s="216" t="s">
        <v>330</v>
      </c>
      <c r="K18" s="216" t="s">
        <v>67</v>
      </c>
      <c r="L18" s="217" t="s">
        <v>330</v>
      </c>
      <c r="N18" s="216" t="s">
        <v>67</v>
      </c>
      <c r="O18" s="216" t="s">
        <v>330</v>
      </c>
      <c r="P18" s="216" t="s">
        <v>67</v>
      </c>
      <c r="Q18" s="216" t="s">
        <v>330</v>
      </c>
      <c r="R18" s="217" t="s">
        <v>235</v>
      </c>
      <c r="T18" s="216" t="s">
        <v>67</v>
      </c>
      <c r="U18" s="216" t="s">
        <v>222</v>
      </c>
      <c r="V18" s="216" t="s">
        <v>67</v>
      </c>
      <c r="W18" s="216" t="s">
        <v>67</v>
      </c>
      <c r="X18" s="217" t="s">
        <v>235</v>
      </c>
      <c r="Z18" s="216" t="s">
        <v>67</v>
      </c>
      <c r="AA18" s="216" t="s">
        <v>67</v>
      </c>
      <c r="AB18" s="216" t="s">
        <v>330</v>
      </c>
      <c r="AC18" s="216" t="s">
        <v>67</v>
      </c>
      <c r="AD18" s="217" t="s">
        <v>330</v>
      </c>
      <c r="AF18" s="216" t="s">
        <v>67</v>
      </c>
      <c r="AG18" s="216" t="s">
        <v>67</v>
      </c>
      <c r="AH18" s="216" t="s">
        <v>67</v>
      </c>
      <c r="AI18" s="216" t="s">
        <v>330</v>
      </c>
      <c r="AJ18" s="217" t="s">
        <v>235</v>
      </c>
      <c r="AL18" s="216" t="s">
        <v>67</v>
      </c>
      <c r="AM18" s="216" t="s">
        <v>67</v>
      </c>
      <c r="AN18" s="216" t="s">
        <v>67</v>
      </c>
      <c r="AO18" s="216" t="s">
        <v>330</v>
      </c>
      <c r="AP18" s="217" t="s">
        <v>235</v>
      </c>
      <c r="AR18" s="216" t="s">
        <v>67</v>
      </c>
      <c r="AS18" s="216" t="s">
        <v>67</v>
      </c>
      <c r="AT18" s="216" t="s">
        <v>330</v>
      </c>
      <c r="AU18" s="216" t="s">
        <v>67</v>
      </c>
      <c r="AV18" s="217" t="s">
        <v>330</v>
      </c>
      <c r="AX18" s="216" t="s">
        <v>67</v>
      </c>
      <c r="AY18" s="216" t="s">
        <v>67</v>
      </c>
      <c r="AZ18" s="216" t="s">
        <v>67</v>
      </c>
      <c r="BA18" s="216" t="s">
        <v>330</v>
      </c>
      <c r="BB18" s="217" t="s">
        <v>235</v>
      </c>
      <c r="BD18" s="217" t="s">
        <v>235</v>
      </c>
    </row>
    <row r="19" spans="1:56" x14ac:dyDescent="0.25">
      <c r="A19" s="17" t="s">
        <v>6</v>
      </c>
      <c r="B19" s="216" t="s">
        <v>67</v>
      </c>
      <c r="C19" s="216" t="s">
        <v>67</v>
      </c>
      <c r="D19" s="216" t="s">
        <v>67</v>
      </c>
      <c r="E19" s="216" t="s">
        <v>67</v>
      </c>
      <c r="F19" s="217" t="s">
        <v>235</v>
      </c>
      <c r="H19" s="216" t="s">
        <v>67</v>
      </c>
      <c r="I19" s="216" t="s">
        <v>67</v>
      </c>
      <c r="J19" s="216" t="s">
        <v>330</v>
      </c>
      <c r="K19" s="216" t="s">
        <v>67</v>
      </c>
      <c r="L19" s="217" t="s">
        <v>330</v>
      </c>
      <c r="N19" s="216" t="s">
        <v>67</v>
      </c>
      <c r="O19" s="216" t="s">
        <v>330</v>
      </c>
      <c r="P19" s="216" t="s">
        <v>67</v>
      </c>
      <c r="Q19" s="216" t="s">
        <v>330</v>
      </c>
      <c r="R19" s="217" t="s">
        <v>235</v>
      </c>
      <c r="T19" s="216" t="s">
        <v>67</v>
      </c>
      <c r="U19" s="216" t="s">
        <v>67</v>
      </c>
      <c r="V19" s="216" t="s">
        <v>67</v>
      </c>
      <c r="W19" s="216" t="s">
        <v>67</v>
      </c>
      <c r="X19" s="217" t="s">
        <v>235</v>
      </c>
      <c r="Z19" s="216" t="s">
        <v>67</v>
      </c>
      <c r="AA19" s="216" t="s">
        <v>67</v>
      </c>
      <c r="AB19" s="216" t="s">
        <v>330</v>
      </c>
      <c r="AC19" s="216" t="s">
        <v>67</v>
      </c>
      <c r="AD19" s="217" t="s">
        <v>330</v>
      </c>
      <c r="AF19" s="216" t="s">
        <v>67</v>
      </c>
      <c r="AG19" s="216" t="s">
        <v>67</v>
      </c>
      <c r="AH19" s="216" t="s">
        <v>67</v>
      </c>
      <c r="AI19" s="216" t="s">
        <v>330</v>
      </c>
      <c r="AJ19" s="217" t="s">
        <v>235</v>
      </c>
      <c r="AL19" s="216" t="s">
        <v>231</v>
      </c>
      <c r="AM19" s="216" t="s">
        <v>231</v>
      </c>
      <c r="AN19" s="216" t="s">
        <v>67</v>
      </c>
      <c r="AO19" s="216" t="s">
        <v>330</v>
      </c>
      <c r="AP19" s="217" t="s">
        <v>235</v>
      </c>
      <c r="AR19" s="216" t="s">
        <v>231</v>
      </c>
      <c r="AS19" s="216" t="s">
        <v>231</v>
      </c>
      <c r="AT19" s="216" t="s">
        <v>330</v>
      </c>
      <c r="AU19" s="216" t="s">
        <v>231</v>
      </c>
      <c r="AV19" s="217" t="s">
        <v>330</v>
      </c>
      <c r="AX19" s="216" t="s">
        <v>231</v>
      </c>
      <c r="AY19" s="216" t="s">
        <v>231</v>
      </c>
      <c r="AZ19" s="216" t="s">
        <v>67</v>
      </c>
      <c r="BA19" s="216" t="s">
        <v>330</v>
      </c>
      <c r="BB19" s="217" t="s">
        <v>235</v>
      </c>
      <c r="BD19" s="217" t="s">
        <v>235</v>
      </c>
    </row>
    <row r="20" spans="1:56" x14ac:dyDescent="0.25">
      <c r="A20" s="17" t="s">
        <v>30</v>
      </c>
      <c r="B20" s="216" t="s">
        <v>67</v>
      </c>
      <c r="C20" s="216" t="s">
        <v>67</v>
      </c>
      <c r="D20" s="216" t="s">
        <v>67</v>
      </c>
      <c r="E20" s="216" t="s">
        <v>67</v>
      </c>
      <c r="F20" s="217" t="s">
        <v>235</v>
      </c>
      <c r="H20" s="216" t="s">
        <v>67</v>
      </c>
      <c r="I20" s="216" t="s">
        <v>67</v>
      </c>
      <c r="J20" s="216" t="s">
        <v>330</v>
      </c>
      <c r="K20" s="216" t="s">
        <v>67</v>
      </c>
      <c r="L20" s="217" t="s">
        <v>330</v>
      </c>
      <c r="N20" s="216" t="s">
        <v>67</v>
      </c>
      <c r="O20" s="216" t="s">
        <v>330</v>
      </c>
      <c r="P20" s="216" t="s">
        <v>67</v>
      </c>
      <c r="Q20" s="216" t="s">
        <v>330</v>
      </c>
      <c r="R20" s="217" t="s">
        <v>235</v>
      </c>
      <c r="T20" s="216" t="s">
        <v>67</v>
      </c>
      <c r="U20" s="216" t="s">
        <v>67</v>
      </c>
      <c r="V20" s="216" t="s">
        <v>67</v>
      </c>
      <c r="W20" s="216" t="s">
        <v>231</v>
      </c>
      <c r="X20" s="217" t="s">
        <v>235</v>
      </c>
      <c r="Z20" s="216" t="s">
        <v>231</v>
      </c>
      <c r="AA20" s="216" t="s">
        <v>231</v>
      </c>
      <c r="AB20" s="216" t="s">
        <v>330</v>
      </c>
      <c r="AC20" s="216" t="s">
        <v>231</v>
      </c>
      <c r="AD20" s="217" t="s">
        <v>330</v>
      </c>
      <c r="AF20" s="216" t="s">
        <v>67</v>
      </c>
      <c r="AG20" s="216" t="s">
        <v>67</v>
      </c>
      <c r="AH20" s="216" t="s">
        <v>67</v>
      </c>
      <c r="AI20" s="216" t="s">
        <v>330</v>
      </c>
      <c r="AJ20" s="217" t="s">
        <v>235</v>
      </c>
      <c r="AL20" s="216" t="s">
        <v>231</v>
      </c>
      <c r="AM20" s="216" t="s">
        <v>231</v>
      </c>
      <c r="AN20" s="216" t="s">
        <v>231</v>
      </c>
      <c r="AO20" s="216" t="s">
        <v>330</v>
      </c>
      <c r="AP20" s="217" t="s">
        <v>235</v>
      </c>
      <c r="AR20" s="216" t="s">
        <v>231</v>
      </c>
      <c r="AS20" s="216" t="s">
        <v>231</v>
      </c>
      <c r="AT20" s="216" t="s">
        <v>330</v>
      </c>
      <c r="AU20" s="216" t="s">
        <v>231</v>
      </c>
      <c r="AV20" s="217" t="s">
        <v>330</v>
      </c>
      <c r="AX20" s="216" t="s">
        <v>231</v>
      </c>
      <c r="AY20" s="216" t="s">
        <v>231</v>
      </c>
      <c r="AZ20" s="216" t="s">
        <v>231</v>
      </c>
      <c r="BA20" s="216" t="s">
        <v>330</v>
      </c>
      <c r="BB20" s="217" t="s">
        <v>235</v>
      </c>
      <c r="BD20" s="217" t="s">
        <v>235</v>
      </c>
    </row>
    <row r="21" spans="1:56" x14ac:dyDescent="0.25">
      <c r="A21" s="17" t="s">
        <v>8</v>
      </c>
      <c r="B21" s="216" t="s">
        <v>67</v>
      </c>
      <c r="C21" s="216" t="s">
        <v>67</v>
      </c>
      <c r="D21" s="216" t="s">
        <v>67</v>
      </c>
      <c r="E21" s="216" t="s">
        <v>67</v>
      </c>
      <c r="F21" s="217" t="s">
        <v>235</v>
      </c>
      <c r="H21" s="216" t="s">
        <v>67</v>
      </c>
      <c r="I21" s="216" t="s">
        <v>67</v>
      </c>
      <c r="J21" s="216" t="s">
        <v>330</v>
      </c>
      <c r="K21" s="216" t="s">
        <v>67</v>
      </c>
      <c r="L21" s="217" t="s">
        <v>330</v>
      </c>
      <c r="N21" s="216" t="s">
        <v>67</v>
      </c>
      <c r="O21" s="216" t="s">
        <v>330</v>
      </c>
      <c r="P21" s="216" t="s">
        <v>67</v>
      </c>
      <c r="Q21" s="216" t="s">
        <v>330</v>
      </c>
      <c r="R21" s="217" t="s">
        <v>235</v>
      </c>
      <c r="T21" s="216" t="s">
        <v>67</v>
      </c>
      <c r="U21" s="216" t="s">
        <v>67</v>
      </c>
      <c r="V21" s="216" t="s">
        <v>67</v>
      </c>
      <c r="W21" s="216" t="s">
        <v>67</v>
      </c>
      <c r="X21" s="217" t="s">
        <v>235</v>
      </c>
      <c r="Z21" s="216" t="s">
        <v>67</v>
      </c>
      <c r="AA21" s="216" t="s">
        <v>67</v>
      </c>
      <c r="AB21" s="216" t="s">
        <v>330</v>
      </c>
      <c r="AC21" s="216" t="s">
        <v>67</v>
      </c>
      <c r="AD21" s="217" t="s">
        <v>330</v>
      </c>
      <c r="AF21" s="216" t="s">
        <v>67</v>
      </c>
      <c r="AG21" s="216" t="s">
        <v>67</v>
      </c>
      <c r="AH21" s="216" t="s">
        <v>67</v>
      </c>
      <c r="AI21" s="216" t="s">
        <v>330</v>
      </c>
      <c r="AJ21" s="217" t="s">
        <v>235</v>
      </c>
      <c r="AL21" s="216" t="s">
        <v>231</v>
      </c>
      <c r="AM21" s="216" t="s">
        <v>231</v>
      </c>
      <c r="AN21" s="216" t="s">
        <v>231</v>
      </c>
      <c r="AO21" s="216" t="s">
        <v>330</v>
      </c>
      <c r="AP21" s="217" t="s">
        <v>235</v>
      </c>
      <c r="AR21" s="216" t="s">
        <v>67</v>
      </c>
      <c r="AS21" s="216" t="s">
        <v>67</v>
      </c>
      <c r="AT21" s="216" t="s">
        <v>330</v>
      </c>
      <c r="AU21" s="216" t="s">
        <v>67</v>
      </c>
      <c r="AV21" s="217" t="s">
        <v>330</v>
      </c>
      <c r="AX21" s="216" t="s">
        <v>67</v>
      </c>
      <c r="AY21" s="216" t="s">
        <v>67</v>
      </c>
      <c r="AZ21" s="216" t="s">
        <v>67</v>
      </c>
      <c r="BA21" s="216" t="s">
        <v>330</v>
      </c>
      <c r="BB21" s="217" t="s">
        <v>235</v>
      </c>
      <c r="BD21" s="217" t="s">
        <v>235</v>
      </c>
    </row>
    <row r="22" spans="1:56" x14ac:dyDescent="0.25">
      <c r="A22" s="17" t="s">
        <v>9</v>
      </c>
      <c r="B22" s="216" t="s">
        <v>67</v>
      </c>
      <c r="C22" s="216" t="s">
        <v>67</v>
      </c>
      <c r="D22" s="216" t="s">
        <v>67</v>
      </c>
      <c r="E22" s="216" t="s">
        <v>67</v>
      </c>
      <c r="F22" s="217" t="s">
        <v>235</v>
      </c>
      <c r="H22" s="216" t="s">
        <v>67</v>
      </c>
      <c r="I22" s="216" t="s">
        <v>67</v>
      </c>
      <c r="J22" s="216" t="s">
        <v>330</v>
      </c>
      <c r="K22" s="216" t="s">
        <v>67</v>
      </c>
      <c r="L22" s="217" t="s">
        <v>330</v>
      </c>
      <c r="N22" s="216" t="s">
        <v>67</v>
      </c>
      <c r="O22" s="216" t="s">
        <v>330</v>
      </c>
      <c r="P22" s="216" t="s">
        <v>67</v>
      </c>
      <c r="Q22" s="216" t="s">
        <v>330</v>
      </c>
      <c r="R22" s="217" t="s">
        <v>235</v>
      </c>
      <c r="T22" s="216" t="s">
        <v>67</v>
      </c>
      <c r="U22" s="216" t="s">
        <v>67</v>
      </c>
      <c r="V22" s="216" t="s">
        <v>67</v>
      </c>
      <c r="W22" s="216" t="s">
        <v>231</v>
      </c>
      <c r="X22" s="217" t="s">
        <v>235</v>
      </c>
      <c r="Z22" s="216" t="s">
        <v>67</v>
      </c>
      <c r="AA22" s="216" t="s">
        <v>67</v>
      </c>
      <c r="AB22" s="216" t="s">
        <v>330</v>
      </c>
      <c r="AC22" s="216" t="s">
        <v>67</v>
      </c>
      <c r="AD22" s="217" t="s">
        <v>330</v>
      </c>
      <c r="AF22" s="216" t="s">
        <v>67</v>
      </c>
      <c r="AG22" s="216" t="s">
        <v>67</v>
      </c>
      <c r="AH22" s="216" t="s">
        <v>67</v>
      </c>
      <c r="AI22" s="216" t="s">
        <v>330</v>
      </c>
      <c r="AJ22" s="217" t="s">
        <v>235</v>
      </c>
      <c r="AL22" s="216" t="s">
        <v>231</v>
      </c>
      <c r="AM22" s="216" t="s">
        <v>231</v>
      </c>
      <c r="AN22" s="216" t="s">
        <v>231</v>
      </c>
      <c r="AO22" s="216" t="s">
        <v>330</v>
      </c>
      <c r="AP22" s="217" t="s">
        <v>235</v>
      </c>
      <c r="AR22" s="216" t="s">
        <v>67</v>
      </c>
      <c r="AS22" s="216" t="s">
        <v>67</v>
      </c>
      <c r="AT22" s="216" t="s">
        <v>330</v>
      </c>
      <c r="AU22" s="216" t="s">
        <v>67</v>
      </c>
      <c r="AV22" s="217" t="s">
        <v>330</v>
      </c>
      <c r="AX22" s="216" t="s">
        <v>67</v>
      </c>
      <c r="AY22" s="216" t="s">
        <v>67</v>
      </c>
      <c r="AZ22" s="216" t="s">
        <v>67</v>
      </c>
      <c r="BA22" s="216" t="s">
        <v>330</v>
      </c>
      <c r="BB22" s="217" t="s">
        <v>235</v>
      </c>
      <c r="BD22" s="217" t="s">
        <v>235</v>
      </c>
    </row>
    <row r="23" spans="1:56" x14ac:dyDescent="0.25">
      <c r="A23" s="17" t="s">
        <v>24</v>
      </c>
      <c r="B23" s="216" t="s">
        <v>67</v>
      </c>
      <c r="C23" s="216" t="s">
        <v>67</v>
      </c>
      <c r="D23" s="216" t="s">
        <v>67</v>
      </c>
      <c r="E23" s="216" t="s">
        <v>67</v>
      </c>
      <c r="F23" s="217" t="s">
        <v>235</v>
      </c>
      <c r="H23" s="216" t="s">
        <v>67</v>
      </c>
      <c r="I23" s="216" t="s">
        <v>67</v>
      </c>
      <c r="J23" s="216" t="s">
        <v>330</v>
      </c>
      <c r="K23" s="216" t="s">
        <v>67</v>
      </c>
      <c r="L23" s="217" t="s">
        <v>330</v>
      </c>
      <c r="N23" s="216" t="s">
        <v>67</v>
      </c>
      <c r="O23" s="216" t="s">
        <v>330</v>
      </c>
      <c r="P23" s="216" t="s">
        <v>67</v>
      </c>
      <c r="Q23" s="216" t="s">
        <v>330</v>
      </c>
      <c r="R23" s="217" t="s">
        <v>235</v>
      </c>
      <c r="T23" s="216" t="s">
        <v>67</v>
      </c>
      <c r="U23" s="216" t="s">
        <v>67</v>
      </c>
      <c r="V23" s="216" t="s">
        <v>67</v>
      </c>
      <c r="W23" s="216" t="s">
        <v>67</v>
      </c>
      <c r="X23" s="217" t="s">
        <v>235</v>
      </c>
      <c r="Z23" s="216" t="s">
        <v>67</v>
      </c>
      <c r="AA23" s="216" t="s">
        <v>67</v>
      </c>
      <c r="AB23" s="216" t="s">
        <v>330</v>
      </c>
      <c r="AC23" s="216" t="s">
        <v>67</v>
      </c>
      <c r="AD23" s="217" t="s">
        <v>330</v>
      </c>
      <c r="AF23" s="216" t="s">
        <v>67</v>
      </c>
      <c r="AG23" s="216" t="s">
        <v>67</v>
      </c>
      <c r="AH23" s="216" t="s">
        <v>67</v>
      </c>
      <c r="AI23" s="216" t="s">
        <v>330</v>
      </c>
      <c r="AJ23" s="217" t="s">
        <v>235</v>
      </c>
      <c r="AL23" s="216" t="s">
        <v>67</v>
      </c>
      <c r="AM23" s="216" t="s">
        <v>67</v>
      </c>
      <c r="AN23" s="216" t="s">
        <v>67</v>
      </c>
      <c r="AO23" s="216" t="s">
        <v>330</v>
      </c>
      <c r="AP23" s="217" t="s">
        <v>235</v>
      </c>
      <c r="AR23" s="216" t="s">
        <v>67</v>
      </c>
      <c r="AS23" s="216" t="s">
        <v>67</v>
      </c>
      <c r="AT23" s="216" t="s">
        <v>330</v>
      </c>
      <c r="AU23" s="216" t="s">
        <v>67</v>
      </c>
      <c r="AV23" s="217" t="s">
        <v>330</v>
      </c>
      <c r="AX23" s="216" t="s">
        <v>67</v>
      </c>
      <c r="AY23" s="216" t="s">
        <v>67</v>
      </c>
      <c r="AZ23" s="216" t="s">
        <v>67</v>
      </c>
      <c r="BA23" s="216" t="s">
        <v>330</v>
      </c>
      <c r="BB23" s="217" t="s">
        <v>235</v>
      </c>
      <c r="BD23" s="217" t="s">
        <v>235</v>
      </c>
    </row>
    <row r="24" spans="1:56" x14ac:dyDescent="0.25">
      <c r="A24" s="17" t="s">
        <v>25</v>
      </c>
      <c r="B24" s="216" t="s">
        <v>67</v>
      </c>
      <c r="C24" s="216" t="s">
        <v>67</v>
      </c>
      <c r="D24" s="216" t="s">
        <v>67</v>
      </c>
      <c r="E24" s="216" t="s">
        <v>67</v>
      </c>
      <c r="F24" s="217" t="s">
        <v>235</v>
      </c>
      <c r="H24" s="216" t="s">
        <v>67</v>
      </c>
      <c r="I24" s="216" t="s">
        <v>67</v>
      </c>
      <c r="J24" s="216" t="s">
        <v>330</v>
      </c>
      <c r="K24" s="216" t="s">
        <v>67</v>
      </c>
      <c r="L24" s="217" t="s">
        <v>330</v>
      </c>
      <c r="N24" s="216" t="s">
        <v>67</v>
      </c>
      <c r="O24" s="216" t="s">
        <v>330</v>
      </c>
      <c r="P24" s="216" t="s">
        <v>67</v>
      </c>
      <c r="Q24" s="216" t="s">
        <v>330</v>
      </c>
      <c r="R24" s="217" t="s">
        <v>235</v>
      </c>
      <c r="T24" s="216" t="s">
        <v>67</v>
      </c>
      <c r="U24" s="216" t="s">
        <v>67</v>
      </c>
      <c r="V24" s="216" t="s">
        <v>67</v>
      </c>
      <c r="W24" s="216" t="s">
        <v>231</v>
      </c>
      <c r="X24" s="217" t="s">
        <v>235</v>
      </c>
      <c r="Z24" s="216" t="s">
        <v>231</v>
      </c>
      <c r="AA24" s="216" t="s">
        <v>231</v>
      </c>
      <c r="AB24" s="216" t="s">
        <v>330</v>
      </c>
      <c r="AC24" s="216" t="s">
        <v>231</v>
      </c>
      <c r="AD24" s="217" t="s">
        <v>330</v>
      </c>
      <c r="AF24" s="216" t="s">
        <v>67</v>
      </c>
      <c r="AG24" s="216" t="s">
        <v>67</v>
      </c>
      <c r="AH24" s="216" t="s">
        <v>67</v>
      </c>
      <c r="AI24" s="216" t="s">
        <v>330</v>
      </c>
      <c r="AJ24" s="217" t="s">
        <v>235</v>
      </c>
      <c r="AL24" s="216" t="s">
        <v>231</v>
      </c>
      <c r="AM24" s="216" t="s">
        <v>231</v>
      </c>
      <c r="AN24" s="216" t="s">
        <v>231</v>
      </c>
      <c r="AO24" s="216" t="s">
        <v>330</v>
      </c>
      <c r="AP24" s="217" t="s">
        <v>235</v>
      </c>
      <c r="AR24" s="216" t="s">
        <v>231</v>
      </c>
      <c r="AS24" s="216" t="s">
        <v>231</v>
      </c>
      <c r="AT24" s="216" t="s">
        <v>330</v>
      </c>
      <c r="AU24" s="216" t="s">
        <v>231</v>
      </c>
      <c r="AV24" s="217" t="s">
        <v>330</v>
      </c>
      <c r="AX24" s="216" t="s">
        <v>231</v>
      </c>
      <c r="AY24" s="216" t="s">
        <v>231</v>
      </c>
      <c r="AZ24" s="216" t="s">
        <v>231</v>
      </c>
      <c r="BA24" s="216" t="s">
        <v>330</v>
      </c>
      <c r="BB24" s="217" t="s">
        <v>235</v>
      </c>
      <c r="BD24" s="217" t="s">
        <v>235</v>
      </c>
    </row>
    <row r="25" spans="1:56" x14ac:dyDescent="0.25">
      <c r="A25" s="17" t="s">
        <v>34</v>
      </c>
      <c r="B25" s="216" t="s">
        <v>67</v>
      </c>
      <c r="C25" s="216" t="s">
        <v>67</v>
      </c>
      <c r="D25" s="216" t="s">
        <v>67</v>
      </c>
      <c r="E25" s="216" t="s">
        <v>67</v>
      </c>
      <c r="F25" s="217" t="s">
        <v>235</v>
      </c>
      <c r="H25" s="216" t="s">
        <v>67</v>
      </c>
      <c r="I25" s="216" t="s">
        <v>67</v>
      </c>
      <c r="J25" s="216" t="s">
        <v>330</v>
      </c>
      <c r="K25" s="216" t="s">
        <v>67</v>
      </c>
      <c r="L25" s="217" t="s">
        <v>330</v>
      </c>
      <c r="N25" s="216" t="s">
        <v>67</v>
      </c>
      <c r="O25" s="216" t="s">
        <v>330</v>
      </c>
      <c r="P25" s="216" t="s">
        <v>67</v>
      </c>
      <c r="Q25" s="216" t="s">
        <v>330</v>
      </c>
      <c r="R25" s="217" t="s">
        <v>235</v>
      </c>
      <c r="T25" s="216" t="s">
        <v>67</v>
      </c>
      <c r="U25" s="216" t="s">
        <v>67</v>
      </c>
      <c r="V25" s="216" t="s">
        <v>67</v>
      </c>
      <c r="W25" s="216" t="s">
        <v>67</v>
      </c>
      <c r="X25" s="217" t="s">
        <v>235</v>
      </c>
      <c r="Z25" s="216" t="s">
        <v>67</v>
      </c>
      <c r="AA25" s="216" t="s">
        <v>231</v>
      </c>
      <c r="AB25" s="216" t="s">
        <v>330</v>
      </c>
      <c r="AC25" s="216" t="s">
        <v>231</v>
      </c>
      <c r="AD25" s="217" t="s">
        <v>330</v>
      </c>
      <c r="AF25" s="216" t="s">
        <v>67</v>
      </c>
      <c r="AG25" s="216" t="s">
        <v>67</v>
      </c>
      <c r="AH25" s="216" t="s">
        <v>67</v>
      </c>
      <c r="AI25" s="216" t="s">
        <v>330</v>
      </c>
      <c r="AJ25" s="217" t="s">
        <v>235</v>
      </c>
      <c r="AL25" s="216" t="s">
        <v>67</v>
      </c>
      <c r="AM25" s="216" t="s">
        <v>231</v>
      </c>
      <c r="AN25" s="216" t="s">
        <v>231</v>
      </c>
      <c r="AO25" s="216" t="s">
        <v>330</v>
      </c>
      <c r="AP25" s="217" t="s">
        <v>235</v>
      </c>
      <c r="AR25" s="216" t="s">
        <v>67</v>
      </c>
      <c r="AS25" s="216" t="s">
        <v>67</v>
      </c>
      <c r="AT25" s="216" t="s">
        <v>330</v>
      </c>
      <c r="AU25" s="216" t="s">
        <v>222</v>
      </c>
      <c r="AV25" s="217" t="s">
        <v>330</v>
      </c>
      <c r="AX25" s="216" t="s">
        <v>67</v>
      </c>
      <c r="AY25" s="216" t="s">
        <v>67</v>
      </c>
      <c r="AZ25" s="216" t="s">
        <v>67</v>
      </c>
      <c r="BA25" s="216" t="s">
        <v>330</v>
      </c>
      <c r="BB25" s="217" t="s">
        <v>235</v>
      </c>
      <c r="BD25" s="217" t="s">
        <v>235</v>
      </c>
    </row>
    <row r="26" spans="1:56" x14ac:dyDescent="0.25">
      <c r="A26" s="17" t="s">
        <v>10</v>
      </c>
      <c r="B26" s="216" t="s">
        <v>67</v>
      </c>
      <c r="C26" s="216" t="s">
        <v>222</v>
      </c>
      <c r="D26" s="216" t="s">
        <v>67</v>
      </c>
      <c r="E26" s="216" t="s">
        <v>67</v>
      </c>
      <c r="F26" s="217" t="s">
        <v>235</v>
      </c>
      <c r="H26" s="216" t="s">
        <v>67</v>
      </c>
      <c r="I26" s="216" t="s">
        <v>67</v>
      </c>
      <c r="J26" s="216" t="s">
        <v>330</v>
      </c>
      <c r="K26" s="216" t="s">
        <v>67</v>
      </c>
      <c r="L26" s="217" t="s">
        <v>330</v>
      </c>
      <c r="N26" s="216" t="s">
        <v>67</v>
      </c>
      <c r="O26" s="216" t="s">
        <v>330</v>
      </c>
      <c r="P26" s="216" t="s">
        <v>67</v>
      </c>
      <c r="Q26" s="216" t="s">
        <v>330</v>
      </c>
      <c r="R26" s="217" t="s">
        <v>235</v>
      </c>
      <c r="T26" s="216" t="s">
        <v>67</v>
      </c>
      <c r="U26" s="216" t="s">
        <v>67</v>
      </c>
      <c r="V26" s="216" t="s">
        <v>222</v>
      </c>
      <c r="W26" s="216" t="s">
        <v>67</v>
      </c>
      <c r="X26" s="217" t="s">
        <v>235</v>
      </c>
      <c r="Z26" s="216" t="s">
        <v>67</v>
      </c>
      <c r="AA26" s="216" t="s">
        <v>67</v>
      </c>
      <c r="AB26" s="216" t="s">
        <v>330</v>
      </c>
      <c r="AC26" s="216" t="s">
        <v>67</v>
      </c>
      <c r="AD26" s="217" t="s">
        <v>330</v>
      </c>
      <c r="AF26" s="216" t="s">
        <v>67</v>
      </c>
      <c r="AG26" s="216" t="s">
        <v>67</v>
      </c>
      <c r="AH26" s="216" t="s">
        <v>67</v>
      </c>
      <c r="AI26" s="216" t="s">
        <v>330</v>
      </c>
      <c r="AJ26" s="217" t="s">
        <v>235</v>
      </c>
      <c r="AL26" s="216" t="s">
        <v>67</v>
      </c>
      <c r="AM26" s="216" t="s">
        <v>67</v>
      </c>
      <c r="AN26" s="216" t="s">
        <v>67</v>
      </c>
      <c r="AO26" s="216" t="s">
        <v>330</v>
      </c>
      <c r="AP26" s="217" t="s">
        <v>235</v>
      </c>
      <c r="AR26" s="216" t="s">
        <v>67</v>
      </c>
      <c r="AS26" s="216" t="s">
        <v>67</v>
      </c>
      <c r="AT26" s="216" t="s">
        <v>330</v>
      </c>
      <c r="AU26" s="216" t="s">
        <v>67</v>
      </c>
      <c r="AV26" s="217" t="s">
        <v>330</v>
      </c>
      <c r="AX26" s="216" t="s">
        <v>67</v>
      </c>
      <c r="AY26" s="216" t="s">
        <v>67</v>
      </c>
      <c r="AZ26" s="216" t="s">
        <v>67</v>
      </c>
      <c r="BA26" s="216" t="s">
        <v>330</v>
      </c>
      <c r="BB26" s="217" t="s">
        <v>235</v>
      </c>
      <c r="BD26" s="217" t="s">
        <v>235</v>
      </c>
    </row>
    <row r="27" spans="1:56" x14ac:dyDescent="0.25">
      <c r="A27" s="17" t="s">
        <v>11</v>
      </c>
      <c r="B27" s="216" t="s">
        <v>67</v>
      </c>
      <c r="C27" s="216" t="s">
        <v>67</v>
      </c>
      <c r="D27" s="216" t="s">
        <v>67</v>
      </c>
      <c r="E27" s="216" t="s">
        <v>67</v>
      </c>
      <c r="F27" s="217" t="s">
        <v>235</v>
      </c>
      <c r="H27" s="216" t="s">
        <v>67</v>
      </c>
      <c r="I27" s="216" t="s">
        <v>67</v>
      </c>
      <c r="J27" s="216" t="s">
        <v>330</v>
      </c>
      <c r="K27" s="216" t="s">
        <v>67</v>
      </c>
      <c r="L27" s="217" t="s">
        <v>330</v>
      </c>
      <c r="N27" s="216" t="s">
        <v>67</v>
      </c>
      <c r="O27" s="216" t="s">
        <v>330</v>
      </c>
      <c r="P27" s="216" t="s">
        <v>67</v>
      </c>
      <c r="Q27" s="216" t="s">
        <v>330</v>
      </c>
      <c r="R27" s="217" t="s">
        <v>235</v>
      </c>
      <c r="T27" s="216" t="s">
        <v>67</v>
      </c>
      <c r="U27" s="216" t="s">
        <v>67</v>
      </c>
      <c r="V27" s="216" t="s">
        <v>67</v>
      </c>
      <c r="W27" s="216" t="s">
        <v>67</v>
      </c>
      <c r="X27" s="217" t="s">
        <v>235</v>
      </c>
      <c r="Z27" s="216" t="s">
        <v>67</v>
      </c>
      <c r="AA27" s="216" t="s">
        <v>67</v>
      </c>
      <c r="AB27" s="216" t="s">
        <v>330</v>
      </c>
      <c r="AC27" s="216" t="s">
        <v>222</v>
      </c>
      <c r="AD27" s="217" t="s">
        <v>330</v>
      </c>
      <c r="AF27" s="216" t="s">
        <v>67</v>
      </c>
      <c r="AG27" s="216" t="s">
        <v>67</v>
      </c>
      <c r="AH27" s="216" t="s">
        <v>67</v>
      </c>
      <c r="AI27" s="216" t="s">
        <v>330</v>
      </c>
      <c r="AJ27" s="217" t="s">
        <v>235</v>
      </c>
      <c r="AL27" s="216" t="s">
        <v>67</v>
      </c>
      <c r="AM27" s="216" t="s">
        <v>67</v>
      </c>
      <c r="AN27" s="216" t="s">
        <v>67</v>
      </c>
      <c r="AO27" s="216" t="s">
        <v>330</v>
      </c>
      <c r="AP27" s="217" t="s">
        <v>235</v>
      </c>
      <c r="AR27" s="216" t="s">
        <v>222</v>
      </c>
      <c r="AS27" s="216" t="s">
        <v>67</v>
      </c>
      <c r="AT27" s="216" t="s">
        <v>330</v>
      </c>
      <c r="AU27" s="216" t="s">
        <v>222</v>
      </c>
      <c r="AV27" s="217" t="s">
        <v>330</v>
      </c>
      <c r="AX27" s="216" t="s">
        <v>67</v>
      </c>
      <c r="AY27" s="216" t="s">
        <v>67</v>
      </c>
      <c r="AZ27" s="216" t="s">
        <v>67</v>
      </c>
      <c r="BA27" s="216" t="s">
        <v>330</v>
      </c>
      <c r="BB27" s="217" t="s">
        <v>235</v>
      </c>
      <c r="BD27" s="217" t="s">
        <v>235</v>
      </c>
    </row>
    <row r="28" spans="1:56" x14ac:dyDescent="0.25">
      <c r="A28" s="17" t="s">
        <v>197</v>
      </c>
      <c r="B28" s="216" t="s">
        <v>67</v>
      </c>
      <c r="C28" s="216" t="s">
        <v>67</v>
      </c>
      <c r="D28" s="216" t="s">
        <v>67</v>
      </c>
      <c r="E28" s="216" t="s">
        <v>67</v>
      </c>
      <c r="F28" s="217" t="s">
        <v>235</v>
      </c>
      <c r="H28" s="216" t="s">
        <v>67</v>
      </c>
      <c r="I28" s="216" t="s">
        <v>67</v>
      </c>
      <c r="J28" s="216" t="s">
        <v>330</v>
      </c>
      <c r="K28" s="216" t="s">
        <v>67</v>
      </c>
      <c r="L28" s="217" t="s">
        <v>330</v>
      </c>
      <c r="N28" s="216" t="s">
        <v>222</v>
      </c>
      <c r="O28" s="216" t="s">
        <v>330</v>
      </c>
      <c r="P28" s="216" t="s">
        <v>67</v>
      </c>
      <c r="Q28" s="216" t="s">
        <v>330</v>
      </c>
      <c r="R28" s="217" t="s">
        <v>235</v>
      </c>
      <c r="T28" s="216" t="s">
        <v>222</v>
      </c>
      <c r="U28" s="216" t="s">
        <v>67</v>
      </c>
      <c r="V28" s="216" t="s">
        <v>67</v>
      </c>
      <c r="W28" s="216" t="s">
        <v>67</v>
      </c>
      <c r="X28" s="217" t="s">
        <v>235</v>
      </c>
      <c r="Z28" s="216" t="s">
        <v>67</v>
      </c>
      <c r="AA28" s="216" t="s">
        <v>67</v>
      </c>
      <c r="AB28" s="216" t="s">
        <v>330</v>
      </c>
      <c r="AC28" s="216" t="s">
        <v>67</v>
      </c>
      <c r="AD28" s="217" t="s">
        <v>330</v>
      </c>
      <c r="AF28" s="216" t="s">
        <v>222</v>
      </c>
      <c r="AG28" s="216" t="s">
        <v>67</v>
      </c>
      <c r="AH28" s="216" t="s">
        <v>67</v>
      </c>
      <c r="AI28" s="216" t="s">
        <v>330</v>
      </c>
      <c r="AJ28" s="217" t="s">
        <v>235</v>
      </c>
      <c r="AL28" s="216" t="s">
        <v>67</v>
      </c>
      <c r="AM28" s="216" t="s">
        <v>67</v>
      </c>
      <c r="AN28" s="216" t="s">
        <v>67</v>
      </c>
      <c r="AO28" s="216" t="s">
        <v>330</v>
      </c>
      <c r="AP28" s="217" t="s">
        <v>235</v>
      </c>
      <c r="AR28" s="216" t="s">
        <v>222</v>
      </c>
      <c r="AS28" s="216" t="s">
        <v>67</v>
      </c>
      <c r="AT28" s="216" t="s">
        <v>330</v>
      </c>
      <c r="AU28" s="216" t="s">
        <v>222</v>
      </c>
      <c r="AV28" s="217" t="s">
        <v>330</v>
      </c>
      <c r="AX28" s="216" t="s">
        <v>222</v>
      </c>
      <c r="AY28" s="216" t="s">
        <v>67</v>
      </c>
      <c r="AZ28" s="216" t="s">
        <v>67</v>
      </c>
      <c r="BA28" s="216" t="s">
        <v>330</v>
      </c>
      <c r="BB28" s="217" t="s">
        <v>235</v>
      </c>
      <c r="BD28" s="217" t="s">
        <v>235</v>
      </c>
    </row>
    <row r="29" spans="1:56" x14ac:dyDescent="0.25">
      <c r="A29" s="17" t="s">
        <v>12</v>
      </c>
      <c r="B29" s="216" t="s">
        <v>67</v>
      </c>
      <c r="C29" s="216" t="s">
        <v>67</v>
      </c>
      <c r="D29" s="216" t="s">
        <v>67</v>
      </c>
      <c r="E29" s="216" t="s">
        <v>67</v>
      </c>
      <c r="F29" s="217" t="s">
        <v>235</v>
      </c>
      <c r="H29" s="216" t="s">
        <v>67</v>
      </c>
      <c r="I29" s="216" t="s">
        <v>67</v>
      </c>
      <c r="J29" s="216" t="s">
        <v>330</v>
      </c>
      <c r="K29" s="216" t="s">
        <v>67</v>
      </c>
      <c r="L29" s="217" t="s">
        <v>330</v>
      </c>
      <c r="N29" s="216" t="s">
        <v>67</v>
      </c>
      <c r="O29" s="216" t="s">
        <v>330</v>
      </c>
      <c r="P29" s="216" t="s">
        <v>67</v>
      </c>
      <c r="Q29" s="216" t="s">
        <v>330</v>
      </c>
      <c r="R29" s="217" t="s">
        <v>235</v>
      </c>
      <c r="T29" s="216" t="s">
        <v>67</v>
      </c>
      <c r="U29" s="216" t="s">
        <v>67</v>
      </c>
      <c r="V29" s="216" t="s">
        <v>67</v>
      </c>
      <c r="W29" s="216" t="s">
        <v>67</v>
      </c>
      <c r="X29" s="217" t="s">
        <v>235</v>
      </c>
      <c r="Z29" s="216" t="s">
        <v>67</v>
      </c>
      <c r="AA29" s="216" t="s">
        <v>67</v>
      </c>
      <c r="AB29" s="216" t="s">
        <v>330</v>
      </c>
      <c r="AC29" s="216" t="s">
        <v>67</v>
      </c>
      <c r="AD29" s="217" t="s">
        <v>330</v>
      </c>
      <c r="AF29" s="216" t="s">
        <v>67</v>
      </c>
      <c r="AG29" s="216" t="s">
        <v>67</v>
      </c>
      <c r="AH29" s="216" t="s">
        <v>67</v>
      </c>
      <c r="AI29" s="216" t="s">
        <v>330</v>
      </c>
      <c r="AJ29" s="217" t="s">
        <v>235</v>
      </c>
      <c r="AL29" s="216" t="s">
        <v>67</v>
      </c>
      <c r="AM29" s="216" t="s">
        <v>67</v>
      </c>
      <c r="AN29" s="216" t="s">
        <v>67</v>
      </c>
      <c r="AO29" s="216" t="s">
        <v>330</v>
      </c>
      <c r="AP29" s="217" t="s">
        <v>235</v>
      </c>
      <c r="AR29" s="216" t="s">
        <v>67</v>
      </c>
      <c r="AS29" s="216" t="s">
        <v>67</v>
      </c>
      <c r="AT29" s="216" t="s">
        <v>330</v>
      </c>
      <c r="AU29" s="216" t="s">
        <v>67</v>
      </c>
      <c r="AV29" s="217" t="s">
        <v>330</v>
      </c>
      <c r="AX29" s="216" t="s">
        <v>67</v>
      </c>
      <c r="AY29" s="216" t="s">
        <v>67</v>
      </c>
      <c r="AZ29" s="216" t="s">
        <v>67</v>
      </c>
      <c r="BA29" s="216" t="s">
        <v>330</v>
      </c>
      <c r="BB29" s="217" t="s">
        <v>235</v>
      </c>
      <c r="BD29" s="217" t="s">
        <v>235</v>
      </c>
    </row>
    <row r="30" spans="1:56" x14ac:dyDescent="0.25">
      <c r="A30" s="17" t="s">
        <v>13</v>
      </c>
      <c r="B30" s="216" t="s">
        <v>67</v>
      </c>
      <c r="C30" s="216" t="s">
        <v>67</v>
      </c>
      <c r="D30" s="216" t="s">
        <v>67</v>
      </c>
      <c r="E30" s="216" t="s">
        <v>67</v>
      </c>
      <c r="F30" s="217" t="s">
        <v>235</v>
      </c>
      <c r="H30" s="216" t="s">
        <v>67</v>
      </c>
      <c r="I30" s="216" t="s">
        <v>67</v>
      </c>
      <c r="J30" s="216" t="s">
        <v>330</v>
      </c>
      <c r="K30" s="216" t="s">
        <v>67</v>
      </c>
      <c r="L30" s="217" t="s">
        <v>330</v>
      </c>
      <c r="N30" s="216" t="s">
        <v>67</v>
      </c>
      <c r="O30" s="216" t="s">
        <v>330</v>
      </c>
      <c r="P30" s="216" t="s">
        <v>67</v>
      </c>
      <c r="Q30" s="216" t="s">
        <v>330</v>
      </c>
      <c r="R30" s="217" t="s">
        <v>235</v>
      </c>
      <c r="T30" s="216" t="s">
        <v>67</v>
      </c>
      <c r="U30" s="216" t="s">
        <v>67</v>
      </c>
      <c r="V30" s="216" t="s">
        <v>67</v>
      </c>
      <c r="W30" s="216" t="s">
        <v>67</v>
      </c>
      <c r="X30" s="217" t="s">
        <v>235</v>
      </c>
      <c r="Z30" s="216" t="s">
        <v>67</v>
      </c>
      <c r="AA30" s="216" t="s">
        <v>67</v>
      </c>
      <c r="AB30" s="216" t="s">
        <v>330</v>
      </c>
      <c r="AC30" s="216" t="s">
        <v>67</v>
      </c>
      <c r="AD30" s="217" t="s">
        <v>330</v>
      </c>
      <c r="AF30" s="216" t="s">
        <v>67</v>
      </c>
      <c r="AG30" s="216" t="s">
        <v>67</v>
      </c>
      <c r="AH30" s="216" t="s">
        <v>67</v>
      </c>
      <c r="AI30" s="216" t="s">
        <v>330</v>
      </c>
      <c r="AJ30" s="217" t="s">
        <v>235</v>
      </c>
      <c r="AL30" s="216" t="s">
        <v>67</v>
      </c>
      <c r="AM30" s="216" t="s">
        <v>67</v>
      </c>
      <c r="AN30" s="216" t="s">
        <v>67</v>
      </c>
      <c r="AO30" s="216" t="s">
        <v>330</v>
      </c>
      <c r="AP30" s="217" t="s">
        <v>235</v>
      </c>
      <c r="AR30" s="216" t="s">
        <v>67</v>
      </c>
      <c r="AS30" s="216" t="s">
        <v>67</v>
      </c>
      <c r="AT30" s="216" t="s">
        <v>330</v>
      </c>
      <c r="AU30" s="216" t="s">
        <v>67</v>
      </c>
      <c r="AV30" s="217" t="s">
        <v>330</v>
      </c>
      <c r="AX30" s="216" t="s">
        <v>67</v>
      </c>
      <c r="AY30" s="216" t="s">
        <v>67</v>
      </c>
      <c r="AZ30" s="216" t="s">
        <v>67</v>
      </c>
      <c r="BA30" s="216" t="s">
        <v>330</v>
      </c>
      <c r="BB30" s="217" t="s">
        <v>235</v>
      </c>
      <c r="BD30" s="217" t="s">
        <v>235</v>
      </c>
    </row>
    <row r="31" spans="1:56" x14ac:dyDescent="0.25">
      <c r="A31" s="17" t="s">
        <v>14</v>
      </c>
      <c r="B31" s="216" t="s">
        <v>67</v>
      </c>
      <c r="C31" s="216" t="s">
        <v>67</v>
      </c>
      <c r="D31" s="216" t="s">
        <v>67</v>
      </c>
      <c r="E31" s="216" t="s">
        <v>67</v>
      </c>
      <c r="F31" s="217" t="s">
        <v>235</v>
      </c>
      <c r="H31" s="216" t="s">
        <v>67</v>
      </c>
      <c r="I31" s="216" t="s">
        <v>67</v>
      </c>
      <c r="J31" s="216" t="s">
        <v>330</v>
      </c>
      <c r="K31" s="216" t="s">
        <v>67</v>
      </c>
      <c r="L31" s="217" t="s">
        <v>330</v>
      </c>
      <c r="N31" s="216" t="s">
        <v>67</v>
      </c>
      <c r="O31" s="216" t="s">
        <v>330</v>
      </c>
      <c r="P31" s="216" t="s">
        <v>67</v>
      </c>
      <c r="Q31" s="216" t="s">
        <v>330</v>
      </c>
      <c r="R31" s="217" t="s">
        <v>235</v>
      </c>
      <c r="T31" s="216" t="s">
        <v>67</v>
      </c>
      <c r="U31" s="216" t="s">
        <v>67</v>
      </c>
      <c r="V31" s="216" t="s">
        <v>67</v>
      </c>
      <c r="W31" s="216" t="s">
        <v>67</v>
      </c>
      <c r="X31" s="217" t="s">
        <v>235</v>
      </c>
      <c r="Z31" s="216" t="s">
        <v>67</v>
      </c>
      <c r="AA31" s="216" t="s">
        <v>67</v>
      </c>
      <c r="AB31" s="216" t="s">
        <v>330</v>
      </c>
      <c r="AC31" s="216" t="s">
        <v>67</v>
      </c>
      <c r="AD31" s="217" t="s">
        <v>330</v>
      </c>
      <c r="AF31" s="216" t="s">
        <v>67</v>
      </c>
      <c r="AG31" s="216" t="s">
        <v>67</v>
      </c>
      <c r="AH31" s="216" t="s">
        <v>67</v>
      </c>
      <c r="AI31" s="216" t="s">
        <v>330</v>
      </c>
      <c r="AJ31" s="217" t="s">
        <v>235</v>
      </c>
      <c r="AL31" s="216" t="s">
        <v>67</v>
      </c>
      <c r="AM31" s="216" t="s">
        <v>67</v>
      </c>
      <c r="AN31" s="216" t="s">
        <v>67</v>
      </c>
      <c r="AO31" s="216" t="s">
        <v>330</v>
      </c>
      <c r="AP31" s="217" t="s">
        <v>235</v>
      </c>
      <c r="AR31" s="216" t="s">
        <v>67</v>
      </c>
      <c r="AS31" s="216" t="s">
        <v>67</v>
      </c>
      <c r="AT31" s="216" t="s">
        <v>330</v>
      </c>
      <c r="AU31" s="216" t="s">
        <v>67</v>
      </c>
      <c r="AV31" s="217" t="s">
        <v>330</v>
      </c>
      <c r="AX31" s="216" t="s">
        <v>67</v>
      </c>
      <c r="AY31" s="216" t="s">
        <v>67</v>
      </c>
      <c r="AZ31" s="216" t="s">
        <v>67</v>
      </c>
      <c r="BA31" s="216" t="s">
        <v>330</v>
      </c>
      <c r="BB31" s="217" t="s">
        <v>235</v>
      </c>
      <c r="BD31" s="217" t="s">
        <v>235</v>
      </c>
    </row>
    <row r="32" spans="1:56" x14ac:dyDescent="0.25">
      <c r="A32" s="17" t="s">
        <v>15</v>
      </c>
      <c r="B32" s="216" t="s">
        <v>67</v>
      </c>
      <c r="C32" s="216" t="s">
        <v>67</v>
      </c>
      <c r="D32" s="216" t="s">
        <v>67</v>
      </c>
      <c r="E32" s="216" t="s">
        <v>67</v>
      </c>
      <c r="F32" s="217" t="s">
        <v>235</v>
      </c>
      <c r="H32" s="216" t="s">
        <v>67</v>
      </c>
      <c r="I32" s="216" t="s">
        <v>67</v>
      </c>
      <c r="J32" s="216" t="s">
        <v>330</v>
      </c>
      <c r="K32" s="216" t="s">
        <v>67</v>
      </c>
      <c r="L32" s="217" t="s">
        <v>330</v>
      </c>
      <c r="N32" s="216" t="s">
        <v>67</v>
      </c>
      <c r="O32" s="216" t="s">
        <v>330</v>
      </c>
      <c r="P32" s="216" t="s">
        <v>67</v>
      </c>
      <c r="Q32" s="216" t="s">
        <v>330</v>
      </c>
      <c r="R32" s="217" t="s">
        <v>235</v>
      </c>
      <c r="T32" s="216" t="s">
        <v>67</v>
      </c>
      <c r="U32" s="216" t="s">
        <v>67</v>
      </c>
      <c r="V32" s="216" t="s">
        <v>67</v>
      </c>
      <c r="W32" s="216" t="s">
        <v>67</v>
      </c>
      <c r="X32" s="217" t="s">
        <v>235</v>
      </c>
      <c r="Z32" s="216" t="s">
        <v>67</v>
      </c>
      <c r="AA32" s="216" t="s">
        <v>67</v>
      </c>
      <c r="AB32" s="216" t="s">
        <v>330</v>
      </c>
      <c r="AC32" s="216" t="s">
        <v>67</v>
      </c>
      <c r="AD32" s="217" t="s">
        <v>330</v>
      </c>
      <c r="AF32" s="216" t="s">
        <v>67</v>
      </c>
      <c r="AG32" s="216" t="s">
        <v>67</v>
      </c>
      <c r="AH32" s="216" t="s">
        <v>67</v>
      </c>
      <c r="AI32" s="216" t="s">
        <v>330</v>
      </c>
      <c r="AJ32" s="217" t="s">
        <v>235</v>
      </c>
      <c r="AL32" s="216" t="s">
        <v>67</v>
      </c>
      <c r="AM32" s="216" t="s">
        <v>67</v>
      </c>
      <c r="AN32" s="216" t="s">
        <v>67</v>
      </c>
      <c r="AO32" s="216" t="s">
        <v>330</v>
      </c>
      <c r="AP32" s="217" t="s">
        <v>235</v>
      </c>
      <c r="AR32" s="216" t="s">
        <v>67</v>
      </c>
      <c r="AS32" s="216" t="s">
        <v>67</v>
      </c>
      <c r="AT32" s="216" t="s">
        <v>330</v>
      </c>
      <c r="AU32" s="216" t="s">
        <v>67</v>
      </c>
      <c r="AV32" s="217" t="s">
        <v>330</v>
      </c>
      <c r="AX32" s="216" t="s">
        <v>67</v>
      </c>
      <c r="AY32" s="216" t="s">
        <v>67</v>
      </c>
      <c r="AZ32" s="216" t="s">
        <v>67</v>
      </c>
      <c r="BA32" s="216" t="s">
        <v>330</v>
      </c>
      <c r="BB32" s="217" t="s">
        <v>235</v>
      </c>
      <c r="BD32" s="217" t="s">
        <v>235</v>
      </c>
    </row>
    <row r="33" spans="1:56" x14ac:dyDescent="0.25">
      <c r="A33" s="17" t="s">
        <v>16</v>
      </c>
      <c r="B33" s="216" t="s">
        <v>67</v>
      </c>
      <c r="C33" s="216" t="s">
        <v>67</v>
      </c>
      <c r="D33" s="216" t="s">
        <v>67</v>
      </c>
      <c r="E33" s="216" t="s">
        <v>67</v>
      </c>
      <c r="F33" s="217" t="s">
        <v>235</v>
      </c>
      <c r="H33" s="216" t="s">
        <v>67</v>
      </c>
      <c r="I33" s="216" t="s">
        <v>67</v>
      </c>
      <c r="J33" s="216" t="s">
        <v>330</v>
      </c>
      <c r="K33" s="216" t="s">
        <v>67</v>
      </c>
      <c r="L33" s="217" t="s">
        <v>330</v>
      </c>
      <c r="N33" s="216" t="s">
        <v>67</v>
      </c>
      <c r="O33" s="216" t="s">
        <v>330</v>
      </c>
      <c r="P33" s="216" t="s">
        <v>67</v>
      </c>
      <c r="Q33" s="216" t="s">
        <v>330</v>
      </c>
      <c r="R33" s="217" t="s">
        <v>235</v>
      </c>
      <c r="T33" s="216" t="s">
        <v>222</v>
      </c>
      <c r="U33" s="216" t="s">
        <v>222</v>
      </c>
      <c r="V33" s="216" t="s">
        <v>67</v>
      </c>
      <c r="W33" s="216" t="s">
        <v>67</v>
      </c>
      <c r="X33" s="217" t="s">
        <v>235</v>
      </c>
      <c r="Z33" s="216" t="s">
        <v>67</v>
      </c>
      <c r="AA33" s="216" t="s">
        <v>222</v>
      </c>
      <c r="AB33" s="216" t="s">
        <v>330</v>
      </c>
      <c r="AC33" s="216" t="s">
        <v>67</v>
      </c>
      <c r="AD33" s="217" t="s">
        <v>330</v>
      </c>
      <c r="AF33" s="216" t="s">
        <v>67</v>
      </c>
      <c r="AG33" s="216" t="s">
        <v>67</v>
      </c>
      <c r="AH33" s="216" t="s">
        <v>67</v>
      </c>
      <c r="AI33" s="216" t="s">
        <v>330</v>
      </c>
      <c r="AJ33" s="217" t="s">
        <v>235</v>
      </c>
      <c r="AL33" s="216" t="s">
        <v>231</v>
      </c>
      <c r="AM33" s="216" t="s">
        <v>231</v>
      </c>
      <c r="AN33" s="216" t="s">
        <v>231</v>
      </c>
      <c r="AO33" s="216" t="s">
        <v>330</v>
      </c>
      <c r="AP33" s="217" t="s">
        <v>235</v>
      </c>
      <c r="AR33" s="216" t="s">
        <v>222</v>
      </c>
      <c r="AS33" s="216" t="s">
        <v>67</v>
      </c>
      <c r="AT33" s="216" t="s">
        <v>330</v>
      </c>
      <c r="AU33" s="216" t="s">
        <v>67</v>
      </c>
      <c r="AV33" s="217" t="s">
        <v>330</v>
      </c>
      <c r="AX33" s="216" t="s">
        <v>67</v>
      </c>
      <c r="AY33" s="216" t="s">
        <v>67</v>
      </c>
      <c r="AZ33" s="216" t="s">
        <v>67</v>
      </c>
      <c r="BA33" s="216" t="s">
        <v>330</v>
      </c>
      <c r="BB33" s="217" t="s">
        <v>235</v>
      </c>
      <c r="BD33" s="217" t="s">
        <v>235</v>
      </c>
    </row>
    <row r="34" spans="1:56" x14ac:dyDescent="0.25">
      <c r="A34" s="17" t="s">
        <v>17</v>
      </c>
      <c r="B34" s="216" t="s">
        <v>67</v>
      </c>
      <c r="C34" s="216" t="s">
        <v>67</v>
      </c>
      <c r="D34" s="216" t="s">
        <v>67</v>
      </c>
      <c r="E34" s="216" t="s">
        <v>67</v>
      </c>
      <c r="F34" s="217" t="s">
        <v>235</v>
      </c>
      <c r="H34" s="216" t="s">
        <v>67</v>
      </c>
      <c r="I34" s="216" t="s">
        <v>67</v>
      </c>
      <c r="J34" s="216" t="s">
        <v>330</v>
      </c>
      <c r="K34" s="216" t="s">
        <v>67</v>
      </c>
      <c r="L34" s="217" t="s">
        <v>330</v>
      </c>
      <c r="N34" s="216" t="s">
        <v>67</v>
      </c>
      <c r="O34" s="216" t="s">
        <v>330</v>
      </c>
      <c r="P34" s="216" t="s">
        <v>67</v>
      </c>
      <c r="Q34" s="216" t="s">
        <v>330</v>
      </c>
      <c r="R34" s="217" t="s">
        <v>235</v>
      </c>
      <c r="T34" s="216" t="s">
        <v>67</v>
      </c>
      <c r="U34" s="216" t="s">
        <v>67</v>
      </c>
      <c r="V34" s="216" t="s">
        <v>67</v>
      </c>
      <c r="W34" s="216" t="s">
        <v>67</v>
      </c>
      <c r="X34" s="217" t="s">
        <v>235</v>
      </c>
      <c r="Z34" s="216" t="s">
        <v>67</v>
      </c>
      <c r="AA34" s="216" t="s">
        <v>67</v>
      </c>
      <c r="AB34" s="216" t="s">
        <v>330</v>
      </c>
      <c r="AC34" s="216" t="s">
        <v>67</v>
      </c>
      <c r="AD34" s="217" t="s">
        <v>330</v>
      </c>
      <c r="AF34" s="216" t="s">
        <v>67</v>
      </c>
      <c r="AG34" s="216" t="s">
        <v>67</v>
      </c>
      <c r="AH34" s="216" t="s">
        <v>67</v>
      </c>
      <c r="AI34" s="216" t="s">
        <v>330</v>
      </c>
      <c r="AJ34" s="217" t="s">
        <v>235</v>
      </c>
      <c r="AL34" s="216" t="s">
        <v>67</v>
      </c>
      <c r="AM34" s="216" t="s">
        <v>67</v>
      </c>
      <c r="AN34" s="216" t="s">
        <v>67</v>
      </c>
      <c r="AO34" s="216" t="s">
        <v>330</v>
      </c>
      <c r="AP34" s="217" t="s">
        <v>235</v>
      </c>
      <c r="AR34" s="216" t="s">
        <v>67</v>
      </c>
      <c r="AS34" s="216" t="s">
        <v>67</v>
      </c>
      <c r="AT34" s="216" t="s">
        <v>330</v>
      </c>
      <c r="AU34" s="216" t="s">
        <v>67</v>
      </c>
      <c r="AV34" s="217" t="s">
        <v>330</v>
      </c>
      <c r="AX34" s="216" t="s">
        <v>67</v>
      </c>
      <c r="AY34" s="216" t="s">
        <v>67</v>
      </c>
      <c r="AZ34" s="216" t="s">
        <v>67</v>
      </c>
      <c r="BA34" s="216" t="s">
        <v>330</v>
      </c>
      <c r="BB34" s="217" t="s">
        <v>235</v>
      </c>
      <c r="BD34" s="217" t="s">
        <v>235</v>
      </c>
    </row>
    <row r="35" spans="1:56" x14ac:dyDescent="0.25">
      <c r="A35" s="17" t="s">
        <v>18</v>
      </c>
      <c r="B35" s="216" t="s">
        <v>67</v>
      </c>
      <c r="C35" s="216" t="s">
        <v>67</v>
      </c>
      <c r="D35" s="216" t="s">
        <v>67</v>
      </c>
      <c r="E35" s="216" t="s">
        <v>67</v>
      </c>
      <c r="F35" s="217" t="s">
        <v>235</v>
      </c>
      <c r="H35" s="216" t="s">
        <v>67</v>
      </c>
      <c r="I35" s="216" t="s">
        <v>67</v>
      </c>
      <c r="J35" s="216" t="s">
        <v>330</v>
      </c>
      <c r="K35" s="216" t="s">
        <v>67</v>
      </c>
      <c r="L35" s="217" t="s">
        <v>330</v>
      </c>
      <c r="N35" s="216" t="s">
        <v>67</v>
      </c>
      <c r="O35" s="216" t="s">
        <v>330</v>
      </c>
      <c r="P35" s="216" t="s">
        <v>67</v>
      </c>
      <c r="Q35" s="216" t="s">
        <v>330</v>
      </c>
      <c r="R35" s="217" t="s">
        <v>235</v>
      </c>
      <c r="T35" s="216" t="s">
        <v>67</v>
      </c>
      <c r="U35" s="216" t="s">
        <v>67</v>
      </c>
      <c r="V35" s="216" t="s">
        <v>67</v>
      </c>
      <c r="W35" s="216" t="s">
        <v>67</v>
      </c>
      <c r="X35" s="217" t="s">
        <v>235</v>
      </c>
      <c r="Z35" s="216" t="s">
        <v>67</v>
      </c>
      <c r="AA35" s="216" t="s">
        <v>67</v>
      </c>
      <c r="AB35" s="216" t="s">
        <v>330</v>
      </c>
      <c r="AC35" s="216" t="s">
        <v>67</v>
      </c>
      <c r="AD35" s="217" t="s">
        <v>330</v>
      </c>
      <c r="AF35" s="216" t="s">
        <v>67</v>
      </c>
      <c r="AG35" s="216" t="s">
        <v>67</v>
      </c>
      <c r="AH35" s="216" t="s">
        <v>67</v>
      </c>
      <c r="AI35" s="216" t="s">
        <v>330</v>
      </c>
      <c r="AJ35" s="217" t="s">
        <v>235</v>
      </c>
      <c r="AL35" s="216" t="s">
        <v>67</v>
      </c>
      <c r="AM35" s="216" t="s">
        <v>67</v>
      </c>
      <c r="AN35" s="216" t="s">
        <v>67</v>
      </c>
      <c r="AO35" s="216" t="s">
        <v>330</v>
      </c>
      <c r="AP35" s="217" t="s">
        <v>235</v>
      </c>
      <c r="AR35" s="216" t="s">
        <v>67</v>
      </c>
      <c r="AS35" s="216" t="s">
        <v>67</v>
      </c>
      <c r="AT35" s="216" t="s">
        <v>330</v>
      </c>
      <c r="AU35" s="216" t="s">
        <v>67</v>
      </c>
      <c r="AV35" s="217" t="s">
        <v>330</v>
      </c>
      <c r="AX35" s="216" t="s">
        <v>67</v>
      </c>
      <c r="AY35" s="216" t="s">
        <v>67</v>
      </c>
      <c r="AZ35" s="216" t="s">
        <v>67</v>
      </c>
      <c r="BA35" s="216" t="s">
        <v>330</v>
      </c>
      <c r="BB35" s="217" t="s">
        <v>235</v>
      </c>
      <c r="BD35" s="217" t="s">
        <v>235</v>
      </c>
    </row>
    <row r="36" spans="1:56" x14ac:dyDescent="0.25">
      <c r="A36" s="17" t="s">
        <v>19</v>
      </c>
      <c r="B36" s="216" t="s">
        <v>67</v>
      </c>
      <c r="C36" s="216" t="s">
        <v>67</v>
      </c>
      <c r="D36" s="216" t="s">
        <v>67</v>
      </c>
      <c r="E36" s="216" t="s">
        <v>67</v>
      </c>
      <c r="F36" s="217" t="s">
        <v>235</v>
      </c>
      <c r="H36" s="216" t="s">
        <v>67</v>
      </c>
      <c r="I36" s="216" t="s">
        <v>67</v>
      </c>
      <c r="J36" s="216" t="s">
        <v>330</v>
      </c>
      <c r="K36" s="216" t="s">
        <v>67</v>
      </c>
      <c r="L36" s="217" t="s">
        <v>330</v>
      </c>
      <c r="N36" s="216" t="s">
        <v>67</v>
      </c>
      <c r="O36" s="216" t="s">
        <v>330</v>
      </c>
      <c r="P36" s="216" t="s">
        <v>67</v>
      </c>
      <c r="Q36" s="216" t="s">
        <v>330</v>
      </c>
      <c r="R36" s="217" t="s">
        <v>235</v>
      </c>
      <c r="T36" s="216" t="s">
        <v>67</v>
      </c>
      <c r="U36" s="216" t="s">
        <v>67</v>
      </c>
      <c r="V36" s="216" t="s">
        <v>67</v>
      </c>
      <c r="W36" s="216" t="s">
        <v>67</v>
      </c>
      <c r="X36" s="217" t="s">
        <v>235</v>
      </c>
      <c r="Z36" s="216" t="s">
        <v>67</v>
      </c>
      <c r="AA36" s="216" t="s">
        <v>67</v>
      </c>
      <c r="AB36" s="216" t="s">
        <v>330</v>
      </c>
      <c r="AC36" s="216" t="s">
        <v>67</v>
      </c>
      <c r="AD36" s="217" t="s">
        <v>330</v>
      </c>
      <c r="AF36" s="216" t="s">
        <v>67</v>
      </c>
      <c r="AG36" s="216" t="s">
        <v>67</v>
      </c>
      <c r="AH36" s="216" t="s">
        <v>67</v>
      </c>
      <c r="AI36" s="216" t="s">
        <v>330</v>
      </c>
      <c r="AJ36" s="217" t="s">
        <v>235</v>
      </c>
      <c r="AL36" s="216" t="s">
        <v>67</v>
      </c>
      <c r="AM36" s="216" t="s">
        <v>67</v>
      </c>
      <c r="AN36" s="216" t="s">
        <v>67</v>
      </c>
      <c r="AO36" s="216" t="s">
        <v>330</v>
      </c>
      <c r="AP36" s="217" t="s">
        <v>235</v>
      </c>
      <c r="AR36" s="216" t="s">
        <v>67</v>
      </c>
      <c r="AS36" s="216" t="s">
        <v>67</v>
      </c>
      <c r="AT36" s="216" t="s">
        <v>330</v>
      </c>
      <c r="AU36" s="216" t="s">
        <v>67</v>
      </c>
      <c r="AV36" s="217" t="s">
        <v>330</v>
      </c>
      <c r="AX36" s="216" t="s">
        <v>67</v>
      </c>
      <c r="AY36" s="216" t="s">
        <v>67</v>
      </c>
      <c r="AZ36" s="216" t="s">
        <v>67</v>
      </c>
      <c r="BA36" s="216" t="s">
        <v>330</v>
      </c>
      <c r="BB36" s="217" t="s">
        <v>235</v>
      </c>
      <c r="BD36" s="217" t="s">
        <v>235</v>
      </c>
    </row>
    <row r="37" spans="1:56" x14ac:dyDescent="0.25">
      <c r="A37" s="17" t="s">
        <v>31</v>
      </c>
      <c r="B37" s="216" t="s">
        <v>67</v>
      </c>
      <c r="C37" s="216" t="s">
        <v>67</v>
      </c>
      <c r="D37" s="216" t="s">
        <v>67</v>
      </c>
      <c r="E37" s="216" t="s">
        <v>67</v>
      </c>
      <c r="F37" s="217" t="s">
        <v>235</v>
      </c>
      <c r="H37" s="216" t="s">
        <v>67</v>
      </c>
      <c r="I37" s="216" t="s">
        <v>67</v>
      </c>
      <c r="J37" s="216" t="s">
        <v>330</v>
      </c>
      <c r="K37" s="216" t="s">
        <v>67</v>
      </c>
      <c r="L37" s="217" t="s">
        <v>330</v>
      </c>
      <c r="N37" s="216" t="s">
        <v>67</v>
      </c>
      <c r="O37" s="216" t="s">
        <v>330</v>
      </c>
      <c r="P37" s="216" t="s">
        <v>222</v>
      </c>
      <c r="Q37" s="216" t="s">
        <v>330</v>
      </c>
      <c r="R37" s="217" t="s">
        <v>235</v>
      </c>
      <c r="T37" s="216" t="s">
        <v>67</v>
      </c>
      <c r="U37" s="216" t="s">
        <v>67</v>
      </c>
      <c r="V37" s="216" t="s">
        <v>222</v>
      </c>
      <c r="W37" s="216" t="s">
        <v>67</v>
      </c>
      <c r="X37" s="217" t="s">
        <v>235</v>
      </c>
      <c r="Z37" s="216" t="s">
        <v>67</v>
      </c>
      <c r="AA37" s="216" t="s">
        <v>67</v>
      </c>
      <c r="AB37" s="216" t="s">
        <v>330</v>
      </c>
      <c r="AC37" s="216" t="s">
        <v>67</v>
      </c>
      <c r="AD37" s="217" t="s">
        <v>330</v>
      </c>
      <c r="AF37" s="216" t="s">
        <v>67</v>
      </c>
      <c r="AG37" s="216" t="s">
        <v>67</v>
      </c>
      <c r="AH37" s="216" t="s">
        <v>67</v>
      </c>
      <c r="AI37" s="216" t="s">
        <v>330</v>
      </c>
      <c r="AJ37" s="217" t="s">
        <v>235</v>
      </c>
      <c r="AL37" s="216" t="s">
        <v>231</v>
      </c>
      <c r="AM37" s="216" t="s">
        <v>231</v>
      </c>
      <c r="AN37" s="216" t="s">
        <v>231</v>
      </c>
      <c r="AO37" s="216" t="s">
        <v>330</v>
      </c>
      <c r="AP37" s="217" t="s">
        <v>235</v>
      </c>
      <c r="AR37" s="216" t="s">
        <v>231</v>
      </c>
      <c r="AS37" s="216" t="s">
        <v>231</v>
      </c>
      <c r="AT37" s="216" t="s">
        <v>330</v>
      </c>
      <c r="AU37" s="216" t="s">
        <v>231</v>
      </c>
      <c r="AV37" s="217" t="s">
        <v>330</v>
      </c>
      <c r="AX37" s="216" t="s">
        <v>231</v>
      </c>
      <c r="AY37" s="216" t="s">
        <v>231</v>
      </c>
      <c r="AZ37" s="216" t="s">
        <v>231</v>
      </c>
      <c r="BA37" s="216" t="s">
        <v>330</v>
      </c>
      <c r="BB37" s="217" t="s">
        <v>235</v>
      </c>
      <c r="BD37" s="217" t="s">
        <v>235</v>
      </c>
    </row>
    <row r="38" spans="1:56" x14ac:dyDescent="0.25">
      <c r="A38" s="17" t="s">
        <v>20</v>
      </c>
      <c r="B38" s="216" t="s">
        <v>67</v>
      </c>
      <c r="C38" s="216" t="s">
        <v>67</v>
      </c>
      <c r="D38" s="216" t="s">
        <v>67</v>
      </c>
      <c r="E38" s="216" t="s">
        <v>67</v>
      </c>
      <c r="F38" s="217" t="s">
        <v>235</v>
      </c>
      <c r="H38" s="216" t="s">
        <v>67</v>
      </c>
      <c r="I38" s="216" t="s">
        <v>67</v>
      </c>
      <c r="J38" s="216" t="s">
        <v>330</v>
      </c>
      <c r="K38" s="216" t="s">
        <v>67</v>
      </c>
      <c r="L38" s="217" t="s">
        <v>330</v>
      </c>
      <c r="N38" s="216" t="s">
        <v>67</v>
      </c>
      <c r="O38" s="216" t="s">
        <v>330</v>
      </c>
      <c r="P38" s="216" t="s">
        <v>67</v>
      </c>
      <c r="Q38" s="216" t="s">
        <v>330</v>
      </c>
      <c r="R38" s="217" t="s">
        <v>235</v>
      </c>
      <c r="T38" s="216" t="s">
        <v>67</v>
      </c>
      <c r="U38" s="216" t="s">
        <v>67</v>
      </c>
      <c r="V38" s="216" t="s">
        <v>67</v>
      </c>
      <c r="W38" s="216" t="s">
        <v>67</v>
      </c>
      <c r="X38" s="217" t="s">
        <v>235</v>
      </c>
      <c r="Z38" s="216" t="s">
        <v>67</v>
      </c>
      <c r="AA38" s="216" t="s">
        <v>67</v>
      </c>
      <c r="AB38" s="216" t="s">
        <v>330</v>
      </c>
      <c r="AC38" s="216" t="s">
        <v>67</v>
      </c>
      <c r="AD38" s="217" t="s">
        <v>330</v>
      </c>
      <c r="AF38" s="216" t="s">
        <v>67</v>
      </c>
      <c r="AG38" s="216" t="s">
        <v>67</v>
      </c>
      <c r="AH38" s="216" t="s">
        <v>67</v>
      </c>
      <c r="AI38" s="216" t="s">
        <v>330</v>
      </c>
      <c r="AJ38" s="217" t="s">
        <v>235</v>
      </c>
      <c r="AL38" s="216" t="s">
        <v>67</v>
      </c>
      <c r="AM38" s="216" t="s">
        <v>67</v>
      </c>
      <c r="AN38" s="216" t="s">
        <v>67</v>
      </c>
      <c r="AO38" s="216" t="s">
        <v>330</v>
      </c>
      <c r="AP38" s="217" t="s">
        <v>235</v>
      </c>
      <c r="AR38" s="216" t="s">
        <v>67</v>
      </c>
      <c r="AS38" s="216" t="s">
        <v>67</v>
      </c>
      <c r="AT38" s="216" t="s">
        <v>330</v>
      </c>
      <c r="AU38" s="216" t="s">
        <v>67</v>
      </c>
      <c r="AV38" s="217" t="s">
        <v>330</v>
      </c>
      <c r="AX38" s="216" t="s">
        <v>67</v>
      </c>
      <c r="AY38" s="216" t="s">
        <v>67</v>
      </c>
      <c r="AZ38" s="216" t="s">
        <v>67</v>
      </c>
      <c r="BA38" s="216" t="s">
        <v>330</v>
      </c>
      <c r="BB38" s="217" t="s">
        <v>235</v>
      </c>
      <c r="BD38" s="217" t="s">
        <v>235</v>
      </c>
    </row>
    <row r="39" spans="1:56" x14ac:dyDescent="0.25">
      <c r="A39" s="17" t="s">
        <v>27</v>
      </c>
      <c r="B39" s="216" t="s">
        <v>67</v>
      </c>
      <c r="C39" s="216" t="s">
        <v>67</v>
      </c>
      <c r="D39" s="216" t="s">
        <v>67</v>
      </c>
      <c r="E39" s="216" t="s">
        <v>67</v>
      </c>
      <c r="F39" s="217" t="s">
        <v>235</v>
      </c>
      <c r="H39" s="216" t="s">
        <v>67</v>
      </c>
      <c r="I39" s="216" t="s">
        <v>67</v>
      </c>
      <c r="J39" s="216" t="s">
        <v>330</v>
      </c>
      <c r="K39" s="216" t="s">
        <v>67</v>
      </c>
      <c r="L39" s="217" t="s">
        <v>330</v>
      </c>
      <c r="N39" s="216" t="s">
        <v>67</v>
      </c>
      <c r="O39" s="216" t="s">
        <v>330</v>
      </c>
      <c r="P39" s="216" t="s">
        <v>67</v>
      </c>
      <c r="Q39" s="216" t="s">
        <v>330</v>
      </c>
      <c r="R39" s="217" t="s">
        <v>235</v>
      </c>
      <c r="T39" s="216" t="s">
        <v>67</v>
      </c>
      <c r="U39" s="216" t="s">
        <v>67</v>
      </c>
      <c r="V39" s="216" t="s">
        <v>67</v>
      </c>
      <c r="W39" s="216" t="s">
        <v>231</v>
      </c>
      <c r="X39" s="217" t="s">
        <v>235</v>
      </c>
      <c r="Z39" s="216" t="s">
        <v>67</v>
      </c>
      <c r="AA39" s="216" t="s">
        <v>67</v>
      </c>
      <c r="AB39" s="216" t="s">
        <v>330</v>
      </c>
      <c r="AC39" s="216" t="s">
        <v>231</v>
      </c>
      <c r="AD39" s="217" t="s">
        <v>330</v>
      </c>
      <c r="AF39" s="216" t="s">
        <v>67</v>
      </c>
      <c r="AG39" s="216" t="s">
        <v>67</v>
      </c>
      <c r="AH39" s="216" t="s">
        <v>67</v>
      </c>
      <c r="AI39" s="216" t="s">
        <v>330</v>
      </c>
      <c r="AJ39" s="217" t="s">
        <v>235</v>
      </c>
      <c r="AL39" s="216" t="s">
        <v>231</v>
      </c>
      <c r="AM39" s="216" t="s">
        <v>231</v>
      </c>
      <c r="AN39" s="216" t="s">
        <v>231</v>
      </c>
      <c r="AO39" s="216" t="s">
        <v>330</v>
      </c>
      <c r="AP39" s="217" t="s">
        <v>235</v>
      </c>
      <c r="AR39" s="216" t="s">
        <v>231</v>
      </c>
      <c r="AS39" s="216" t="s">
        <v>231</v>
      </c>
      <c r="AT39" s="216" t="s">
        <v>330</v>
      </c>
      <c r="AU39" s="216" t="s">
        <v>231</v>
      </c>
      <c r="AV39" s="217" t="s">
        <v>330</v>
      </c>
      <c r="AX39" s="216" t="s">
        <v>231</v>
      </c>
      <c r="AY39" s="216" t="s">
        <v>231</v>
      </c>
      <c r="AZ39" s="216" t="s">
        <v>231</v>
      </c>
      <c r="BA39" s="216" t="s">
        <v>330</v>
      </c>
      <c r="BB39" s="217" t="s">
        <v>235</v>
      </c>
      <c r="BD39" s="217" t="s">
        <v>235</v>
      </c>
    </row>
    <row r="40" spans="1:56" x14ac:dyDescent="0.25">
      <c r="A40" s="17" t="s">
        <v>32</v>
      </c>
      <c r="B40" s="216" t="s">
        <v>67</v>
      </c>
      <c r="C40" s="216" t="s">
        <v>67</v>
      </c>
      <c r="D40" s="216" t="s">
        <v>67</v>
      </c>
      <c r="E40" s="216" t="s">
        <v>67</v>
      </c>
      <c r="F40" s="217" t="s">
        <v>235</v>
      </c>
      <c r="H40" s="216" t="s">
        <v>67</v>
      </c>
      <c r="I40" s="216" t="s">
        <v>67</v>
      </c>
      <c r="J40" s="216" t="s">
        <v>330</v>
      </c>
      <c r="K40" s="216" t="s">
        <v>67</v>
      </c>
      <c r="L40" s="217" t="s">
        <v>330</v>
      </c>
      <c r="N40" s="216" t="s">
        <v>67</v>
      </c>
      <c r="O40" s="216" t="s">
        <v>330</v>
      </c>
      <c r="P40" s="216" t="s">
        <v>67</v>
      </c>
      <c r="Q40" s="216" t="s">
        <v>330</v>
      </c>
      <c r="R40" s="217" t="s">
        <v>235</v>
      </c>
      <c r="T40" s="216" t="s">
        <v>67</v>
      </c>
      <c r="U40" s="216" t="s">
        <v>67</v>
      </c>
      <c r="V40" s="216" t="s">
        <v>67</v>
      </c>
      <c r="W40" s="216" t="s">
        <v>67</v>
      </c>
      <c r="X40" s="217" t="s">
        <v>235</v>
      </c>
      <c r="Z40" s="216" t="s">
        <v>67</v>
      </c>
      <c r="AA40" s="216" t="s">
        <v>67</v>
      </c>
      <c r="AB40" s="216" t="s">
        <v>330</v>
      </c>
      <c r="AC40" s="216" t="s">
        <v>67</v>
      </c>
      <c r="AD40" s="217" t="s">
        <v>330</v>
      </c>
      <c r="AF40" s="216" t="s">
        <v>67</v>
      </c>
      <c r="AG40" s="216" t="s">
        <v>67</v>
      </c>
      <c r="AH40" s="216" t="s">
        <v>67</v>
      </c>
      <c r="AI40" s="216" t="s">
        <v>330</v>
      </c>
      <c r="AJ40" s="217" t="s">
        <v>235</v>
      </c>
      <c r="AL40" s="216" t="s">
        <v>231</v>
      </c>
      <c r="AM40" s="216" t="s">
        <v>231</v>
      </c>
      <c r="AN40" s="216" t="s">
        <v>231</v>
      </c>
      <c r="AO40" s="216" t="s">
        <v>330</v>
      </c>
      <c r="AP40" s="217" t="s">
        <v>235</v>
      </c>
      <c r="AR40" s="216" t="s">
        <v>231</v>
      </c>
      <c r="AS40" s="216" t="s">
        <v>231</v>
      </c>
      <c r="AT40" s="216" t="s">
        <v>330</v>
      </c>
      <c r="AU40" s="216" t="s">
        <v>231</v>
      </c>
      <c r="AV40" s="217" t="s">
        <v>330</v>
      </c>
      <c r="AX40" s="216" t="s">
        <v>67</v>
      </c>
      <c r="AY40" s="216" t="s">
        <v>67</v>
      </c>
      <c r="AZ40" s="216" t="s">
        <v>67</v>
      </c>
      <c r="BA40" s="216" t="s">
        <v>330</v>
      </c>
      <c r="BB40" s="217" t="s">
        <v>235</v>
      </c>
      <c r="BD40" s="217" t="s">
        <v>235</v>
      </c>
    </row>
    <row r="41" spans="1:56" x14ac:dyDescent="0.25">
      <c r="A41" s="17" t="s">
        <v>21</v>
      </c>
      <c r="B41" s="216" t="s">
        <v>67</v>
      </c>
      <c r="C41" s="216" t="s">
        <v>67</v>
      </c>
      <c r="D41" s="216" t="s">
        <v>67</v>
      </c>
      <c r="E41" s="216" t="s">
        <v>67</v>
      </c>
      <c r="F41" s="217" t="s">
        <v>235</v>
      </c>
      <c r="H41" s="216" t="s">
        <v>67</v>
      </c>
      <c r="I41" s="216" t="s">
        <v>67</v>
      </c>
      <c r="J41" s="216" t="s">
        <v>330</v>
      </c>
      <c r="K41" s="216" t="s">
        <v>67</v>
      </c>
      <c r="L41" s="217" t="s">
        <v>330</v>
      </c>
      <c r="N41" s="216" t="s">
        <v>67</v>
      </c>
      <c r="O41" s="216" t="s">
        <v>330</v>
      </c>
      <c r="P41" s="216" t="s">
        <v>67</v>
      </c>
      <c r="Q41" s="216" t="s">
        <v>330</v>
      </c>
      <c r="R41" s="217" t="s">
        <v>235</v>
      </c>
      <c r="T41" s="216" t="s">
        <v>67</v>
      </c>
      <c r="U41" s="216" t="s">
        <v>67</v>
      </c>
      <c r="V41" s="216" t="s">
        <v>67</v>
      </c>
      <c r="W41" s="216" t="s">
        <v>67</v>
      </c>
      <c r="X41" s="217" t="s">
        <v>235</v>
      </c>
      <c r="Z41" s="216" t="s">
        <v>67</v>
      </c>
      <c r="AA41" s="216" t="s">
        <v>67</v>
      </c>
      <c r="AB41" s="216" t="s">
        <v>330</v>
      </c>
      <c r="AC41" s="216" t="s">
        <v>67</v>
      </c>
      <c r="AD41" s="217" t="s">
        <v>330</v>
      </c>
      <c r="AF41" s="216" t="s">
        <v>67</v>
      </c>
      <c r="AG41" s="216" t="s">
        <v>67</v>
      </c>
      <c r="AH41" s="216" t="s">
        <v>67</v>
      </c>
      <c r="AI41" s="216" t="s">
        <v>330</v>
      </c>
      <c r="AJ41" s="217" t="s">
        <v>235</v>
      </c>
      <c r="AL41" s="216" t="s">
        <v>222</v>
      </c>
      <c r="AM41" s="216" t="s">
        <v>67</v>
      </c>
      <c r="AN41" s="216" t="s">
        <v>67</v>
      </c>
      <c r="AO41" s="216" t="s">
        <v>330</v>
      </c>
      <c r="AP41" s="217" t="s">
        <v>235</v>
      </c>
      <c r="AR41" s="216" t="s">
        <v>231</v>
      </c>
      <c r="AS41" s="216" t="s">
        <v>231</v>
      </c>
      <c r="AT41" s="216" t="s">
        <v>330</v>
      </c>
      <c r="AU41" s="216" t="s">
        <v>231</v>
      </c>
      <c r="AV41" s="217" t="s">
        <v>330</v>
      </c>
      <c r="AX41" s="216" t="s">
        <v>67</v>
      </c>
      <c r="AY41" s="216" t="s">
        <v>67</v>
      </c>
      <c r="AZ41" s="216" t="s">
        <v>67</v>
      </c>
      <c r="BA41" s="216" t="s">
        <v>330</v>
      </c>
      <c r="BB41" s="217" t="s">
        <v>235</v>
      </c>
      <c r="BD41" s="217" t="s">
        <v>235</v>
      </c>
    </row>
    <row r="42" spans="1:56" x14ac:dyDescent="0.25">
      <c r="A42" s="17" t="s">
        <v>43</v>
      </c>
      <c r="B42" s="216" t="s">
        <v>67</v>
      </c>
      <c r="C42" s="216" t="s">
        <v>67</v>
      </c>
      <c r="D42" s="216" t="s">
        <v>67</v>
      </c>
      <c r="E42" s="216" t="s">
        <v>67</v>
      </c>
      <c r="F42" s="217" t="s">
        <v>235</v>
      </c>
      <c r="H42" s="216" t="s">
        <v>67</v>
      </c>
      <c r="I42" s="216" t="s">
        <v>67</v>
      </c>
      <c r="J42" s="216" t="s">
        <v>330</v>
      </c>
      <c r="K42" s="216" t="s">
        <v>67</v>
      </c>
      <c r="L42" s="217" t="s">
        <v>330</v>
      </c>
      <c r="N42" s="216" t="s">
        <v>67</v>
      </c>
      <c r="O42" s="216" t="s">
        <v>330</v>
      </c>
      <c r="P42" s="216" t="s">
        <v>67</v>
      </c>
      <c r="Q42" s="216" t="s">
        <v>330</v>
      </c>
      <c r="R42" s="217" t="s">
        <v>235</v>
      </c>
      <c r="T42" s="216" t="s">
        <v>67</v>
      </c>
      <c r="U42" s="216" t="s">
        <v>67</v>
      </c>
      <c r="V42" s="216" t="s">
        <v>67</v>
      </c>
      <c r="W42" s="216" t="s">
        <v>67</v>
      </c>
      <c r="X42" s="217" t="s">
        <v>235</v>
      </c>
      <c r="Z42" s="216" t="s">
        <v>67</v>
      </c>
      <c r="AA42" s="216" t="s">
        <v>67</v>
      </c>
      <c r="AB42" s="216" t="s">
        <v>330</v>
      </c>
      <c r="AC42" s="216" t="s">
        <v>67</v>
      </c>
      <c r="AD42" s="217" t="s">
        <v>330</v>
      </c>
      <c r="AF42" s="216" t="s">
        <v>67</v>
      </c>
      <c r="AG42" s="216" t="s">
        <v>67</v>
      </c>
      <c r="AH42" s="216" t="s">
        <v>67</v>
      </c>
      <c r="AI42" s="216" t="s">
        <v>330</v>
      </c>
      <c r="AJ42" s="217" t="s">
        <v>235</v>
      </c>
      <c r="AL42" s="216" t="s">
        <v>67</v>
      </c>
      <c r="AM42" s="216" t="s">
        <v>67</v>
      </c>
      <c r="AN42" s="216" t="s">
        <v>67</v>
      </c>
      <c r="AO42" s="216" t="s">
        <v>330</v>
      </c>
      <c r="AP42" s="217" t="s">
        <v>235</v>
      </c>
      <c r="AR42" s="216" t="s">
        <v>67</v>
      </c>
      <c r="AS42" s="216" t="s">
        <v>67</v>
      </c>
      <c r="AT42" s="216" t="s">
        <v>330</v>
      </c>
      <c r="AU42" s="216" t="s">
        <v>67</v>
      </c>
      <c r="AV42" s="217" t="s">
        <v>330</v>
      </c>
      <c r="AX42" s="216" t="s">
        <v>67</v>
      </c>
      <c r="AY42" s="216" t="s">
        <v>67</v>
      </c>
      <c r="AZ42" s="216" t="s">
        <v>67</v>
      </c>
      <c r="BA42" s="216" t="s">
        <v>330</v>
      </c>
      <c r="BB42" s="217" t="s">
        <v>235</v>
      </c>
      <c r="BD42" s="217" t="s">
        <v>235</v>
      </c>
    </row>
    <row r="43" spans="1:56" x14ac:dyDescent="0.25">
      <c r="A43" s="17" t="s">
        <v>44</v>
      </c>
      <c r="B43" s="216" t="s">
        <v>222</v>
      </c>
      <c r="C43" s="216" t="s">
        <v>67</v>
      </c>
      <c r="D43" s="216" t="s">
        <v>67</v>
      </c>
      <c r="E43" s="216" t="s">
        <v>67</v>
      </c>
      <c r="F43" s="217" t="s">
        <v>235</v>
      </c>
      <c r="H43" s="216" t="s">
        <v>67</v>
      </c>
      <c r="I43" s="216" t="s">
        <v>67</v>
      </c>
      <c r="J43" s="216" t="s">
        <v>330</v>
      </c>
      <c r="K43" s="216" t="s">
        <v>67</v>
      </c>
      <c r="L43" s="217" t="s">
        <v>330</v>
      </c>
      <c r="N43" s="216" t="s">
        <v>67</v>
      </c>
      <c r="O43" s="216" t="s">
        <v>330</v>
      </c>
      <c r="P43" s="216" t="s">
        <v>67</v>
      </c>
      <c r="Q43" s="216" t="s">
        <v>330</v>
      </c>
      <c r="R43" s="217" t="s">
        <v>235</v>
      </c>
      <c r="T43" s="216" t="s">
        <v>222</v>
      </c>
      <c r="U43" s="216" t="s">
        <v>222</v>
      </c>
      <c r="V43" s="216" t="s">
        <v>222</v>
      </c>
      <c r="W43" s="216" t="s">
        <v>67</v>
      </c>
      <c r="X43" s="217" t="s">
        <v>235</v>
      </c>
      <c r="Z43" s="216" t="s">
        <v>67</v>
      </c>
      <c r="AA43" s="216" t="s">
        <v>67</v>
      </c>
      <c r="AB43" s="216" t="s">
        <v>330</v>
      </c>
      <c r="AC43" s="216" t="s">
        <v>67</v>
      </c>
      <c r="AD43" s="217" t="s">
        <v>330</v>
      </c>
      <c r="AF43" s="216" t="s">
        <v>67</v>
      </c>
      <c r="AG43" s="216" t="s">
        <v>222</v>
      </c>
      <c r="AH43" s="216" t="s">
        <v>222</v>
      </c>
      <c r="AI43" s="216" t="s">
        <v>330</v>
      </c>
      <c r="AJ43" s="217" t="s">
        <v>235</v>
      </c>
      <c r="AL43" s="216" t="s">
        <v>67</v>
      </c>
      <c r="AM43" s="216" t="s">
        <v>67</v>
      </c>
      <c r="AN43" s="216" t="s">
        <v>67</v>
      </c>
      <c r="AO43" s="216" t="s">
        <v>330</v>
      </c>
      <c r="AP43" s="217" t="s">
        <v>235</v>
      </c>
      <c r="AR43" s="216" t="s">
        <v>67</v>
      </c>
      <c r="AS43" s="216" t="s">
        <v>67</v>
      </c>
      <c r="AT43" s="216" t="s">
        <v>330</v>
      </c>
      <c r="AU43" s="216" t="s">
        <v>67</v>
      </c>
      <c r="AV43" s="217" t="s">
        <v>330</v>
      </c>
      <c r="AX43" s="216" t="s">
        <v>67</v>
      </c>
      <c r="AY43" s="216" t="s">
        <v>67</v>
      </c>
      <c r="AZ43" s="216" t="s">
        <v>67</v>
      </c>
      <c r="BA43" s="216" t="s">
        <v>330</v>
      </c>
      <c r="BB43" s="217" t="s">
        <v>235</v>
      </c>
      <c r="BD43" s="217" t="s">
        <v>235</v>
      </c>
    </row>
    <row r="44" spans="1:56" x14ac:dyDescent="0.25">
      <c r="A44" s="17" t="s">
        <v>35</v>
      </c>
      <c r="B44" s="216" t="s">
        <v>67</v>
      </c>
      <c r="C44" s="216" t="s">
        <v>222</v>
      </c>
      <c r="D44" s="216" t="s">
        <v>67</v>
      </c>
      <c r="E44" s="216" t="s">
        <v>67</v>
      </c>
      <c r="F44" s="217" t="s">
        <v>235</v>
      </c>
      <c r="H44" s="216" t="s">
        <v>67</v>
      </c>
      <c r="I44" s="216" t="s">
        <v>67</v>
      </c>
      <c r="J44" s="216" t="s">
        <v>330</v>
      </c>
      <c r="K44" s="216" t="s">
        <v>67</v>
      </c>
      <c r="L44" s="217" t="s">
        <v>330</v>
      </c>
      <c r="N44" s="216" t="s">
        <v>67</v>
      </c>
      <c r="O44" s="216" t="s">
        <v>330</v>
      </c>
      <c r="P44" s="216" t="s">
        <v>67</v>
      </c>
      <c r="Q44" s="216" t="s">
        <v>330</v>
      </c>
      <c r="R44" s="217" t="s">
        <v>235</v>
      </c>
      <c r="T44" s="216" t="s">
        <v>67</v>
      </c>
      <c r="U44" s="216" t="s">
        <v>67</v>
      </c>
      <c r="V44" s="216" t="s">
        <v>67</v>
      </c>
      <c r="W44" s="216" t="s">
        <v>67</v>
      </c>
      <c r="X44" s="217" t="s">
        <v>235</v>
      </c>
      <c r="Z44" s="216" t="s">
        <v>67</v>
      </c>
      <c r="AA44" s="216" t="s">
        <v>67</v>
      </c>
      <c r="AB44" s="216" t="s">
        <v>330</v>
      </c>
      <c r="AC44" s="216" t="s">
        <v>67</v>
      </c>
      <c r="AD44" s="217" t="s">
        <v>330</v>
      </c>
      <c r="AF44" s="216" t="s">
        <v>67</v>
      </c>
      <c r="AG44" s="216" t="s">
        <v>67</v>
      </c>
      <c r="AH44" s="216" t="s">
        <v>67</v>
      </c>
      <c r="AI44" s="216" t="s">
        <v>330</v>
      </c>
      <c r="AJ44" s="217" t="s">
        <v>235</v>
      </c>
      <c r="AL44" s="216" t="s">
        <v>231</v>
      </c>
      <c r="AM44" s="216" t="s">
        <v>231</v>
      </c>
      <c r="AN44" s="216" t="s">
        <v>67</v>
      </c>
      <c r="AO44" s="216" t="s">
        <v>330</v>
      </c>
      <c r="AP44" s="217" t="s">
        <v>235</v>
      </c>
      <c r="AR44" s="216" t="s">
        <v>231</v>
      </c>
      <c r="AS44" s="216" t="s">
        <v>231</v>
      </c>
      <c r="AT44" s="216" t="s">
        <v>330</v>
      </c>
      <c r="AU44" s="216" t="s">
        <v>231</v>
      </c>
      <c r="AV44" s="217" t="s">
        <v>330</v>
      </c>
      <c r="AX44" s="216" t="s">
        <v>231</v>
      </c>
      <c r="AY44" s="216" t="s">
        <v>231</v>
      </c>
      <c r="AZ44" s="216" t="s">
        <v>67</v>
      </c>
      <c r="BA44" s="216" t="s">
        <v>330</v>
      </c>
      <c r="BB44" s="217" t="s">
        <v>235</v>
      </c>
      <c r="BD44" s="217" t="s">
        <v>235</v>
      </c>
    </row>
    <row r="45" spans="1:56" x14ac:dyDescent="0.25">
      <c r="A45" s="17" t="s">
        <v>36</v>
      </c>
      <c r="B45" s="216" t="s">
        <v>67</v>
      </c>
      <c r="C45" s="216" t="s">
        <v>67</v>
      </c>
      <c r="D45" s="216" t="s">
        <v>67</v>
      </c>
      <c r="E45" s="216" t="s">
        <v>67</v>
      </c>
      <c r="F45" s="217" t="s">
        <v>235</v>
      </c>
      <c r="H45" s="216" t="s">
        <v>67</v>
      </c>
      <c r="I45" s="216" t="s">
        <v>67</v>
      </c>
      <c r="J45" s="216" t="s">
        <v>330</v>
      </c>
      <c r="K45" s="216" t="s">
        <v>67</v>
      </c>
      <c r="L45" s="217" t="s">
        <v>330</v>
      </c>
      <c r="N45" s="216" t="s">
        <v>67</v>
      </c>
      <c r="O45" s="216" t="s">
        <v>330</v>
      </c>
      <c r="P45" s="216" t="s">
        <v>67</v>
      </c>
      <c r="Q45" s="216" t="s">
        <v>330</v>
      </c>
      <c r="R45" s="217" t="s">
        <v>235</v>
      </c>
      <c r="T45" s="216" t="s">
        <v>67</v>
      </c>
      <c r="U45" s="216" t="s">
        <v>67</v>
      </c>
      <c r="V45" s="216" t="s">
        <v>67</v>
      </c>
      <c r="W45" s="216" t="s">
        <v>231</v>
      </c>
      <c r="X45" s="217" t="s">
        <v>235</v>
      </c>
      <c r="Z45" s="216" t="s">
        <v>231</v>
      </c>
      <c r="AA45" s="216" t="s">
        <v>231</v>
      </c>
      <c r="AB45" s="216" t="s">
        <v>330</v>
      </c>
      <c r="AC45" s="216" t="s">
        <v>231</v>
      </c>
      <c r="AD45" s="217" t="s">
        <v>330</v>
      </c>
      <c r="AF45" s="216" t="s">
        <v>67</v>
      </c>
      <c r="AG45" s="216" t="s">
        <v>67</v>
      </c>
      <c r="AH45" s="216" t="s">
        <v>67</v>
      </c>
      <c r="AI45" s="216" t="s">
        <v>330</v>
      </c>
      <c r="AJ45" s="217" t="s">
        <v>235</v>
      </c>
      <c r="AL45" s="216" t="s">
        <v>231</v>
      </c>
      <c r="AM45" s="216" t="s">
        <v>231</v>
      </c>
      <c r="AN45" s="216" t="s">
        <v>231</v>
      </c>
      <c r="AO45" s="216" t="s">
        <v>330</v>
      </c>
      <c r="AP45" s="217" t="s">
        <v>235</v>
      </c>
      <c r="AR45" s="216" t="s">
        <v>231</v>
      </c>
      <c r="AS45" s="216" t="s">
        <v>231</v>
      </c>
      <c r="AT45" s="216" t="s">
        <v>330</v>
      </c>
      <c r="AU45" s="216" t="s">
        <v>231</v>
      </c>
      <c r="AV45" s="217" t="s">
        <v>330</v>
      </c>
      <c r="AX45" s="216" t="s">
        <v>231</v>
      </c>
      <c r="AY45" s="216" t="s">
        <v>231</v>
      </c>
      <c r="AZ45" s="216" t="s">
        <v>231</v>
      </c>
      <c r="BA45" s="216" t="s">
        <v>330</v>
      </c>
      <c r="BB45" s="217" t="s">
        <v>235</v>
      </c>
      <c r="BD45" s="217" t="s">
        <v>235</v>
      </c>
    </row>
    <row r="46" spans="1:56" x14ac:dyDescent="0.25">
      <c r="A46" s="17" t="s">
        <v>37</v>
      </c>
      <c r="B46" s="216" t="s">
        <v>67</v>
      </c>
      <c r="C46" s="216" t="s">
        <v>67</v>
      </c>
      <c r="D46" s="216" t="s">
        <v>67</v>
      </c>
      <c r="E46" s="216" t="s">
        <v>67</v>
      </c>
      <c r="F46" s="217" t="s">
        <v>235</v>
      </c>
      <c r="H46" s="216" t="s">
        <v>67</v>
      </c>
      <c r="I46" s="216" t="s">
        <v>67</v>
      </c>
      <c r="J46" s="216" t="s">
        <v>330</v>
      </c>
      <c r="K46" s="216" t="s">
        <v>67</v>
      </c>
      <c r="L46" s="217" t="s">
        <v>330</v>
      </c>
      <c r="N46" s="216" t="s">
        <v>67</v>
      </c>
      <c r="O46" s="216" t="s">
        <v>330</v>
      </c>
      <c r="P46" s="216" t="s">
        <v>67</v>
      </c>
      <c r="Q46" s="216" t="s">
        <v>330</v>
      </c>
      <c r="R46" s="217" t="s">
        <v>235</v>
      </c>
      <c r="T46" s="216" t="s">
        <v>222</v>
      </c>
      <c r="U46" s="216" t="s">
        <v>222</v>
      </c>
      <c r="V46" s="216" t="s">
        <v>67</v>
      </c>
      <c r="W46" s="216" t="s">
        <v>67</v>
      </c>
      <c r="X46" s="217" t="s">
        <v>235</v>
      </c>
      <c r="Z46" s="216" t="s">
        <v>67</v>
      </c>
      <c r="AA46" s="216" t="s">
        <v>67</v>
      </c>
      <c r="AB46" s="216" t="s">
        <v>330</v>
      </c>
      <c r="AC46" s="216" t="s">
        <v>67</v>
      </c>
      <c r="AD46" s="217" t="s">
        <v>330</v>
      </c>
      <c r="AF46" s="216" t="s">
        <v>67</v>
      </c>
      <c r="AG46" s="216" t="s">
        <v>67</v>
      </c>
      <c r="AH46" s="216" t="s">
        <v>222</v>
      </c>
      <c r="AI46" s="216" t="s">
        <v>330</v>
      </c>
      <c r="AJ46" s="217" t="s">
        <v>235</v>
      </c>
      <c r="AL46" s="216" t="s">
        <v>231</v>
      </c>
      <c r="AM46" s="216" t="s">
        <v>231</v>
      </c>
      <c r="AN46" s="216" t="s">
        <v>231</v>
      </c>
      <c r="AO46" s="216" t="s">
        <v>330</v>
      </c>
      <c r="AP46" s="217" t="s">
        <v>235</v>
      </c>
      <c r="AR46" s="216" t="s">
        <v>231</v>
      </c>
      <c r="AS46" s="216" t="s">
        <v>231</v>
      </c>
      <c r="AT46" s="216" t="s">
        <v>330</v>
      </c>
      <c r="AU46" s="216" t="s">
        <v>231</v>
      </c>
      <c r="AV46" s="217" t="s">
        <v>330</v>
      </c>
      <c r="AX46" s="216" t="s">
        <v>67</v>
      </c>
      <c r="AY46" s="216" t="s">
        <v>67</v>
      </c>
      <c r="AZ46" s="216" t="s">
        <v>67</v>
      </c>
      <c r="BA46" s="216" t="s">
        <v>330</v>
      </c>
      <c r="BB46" s="217" t="s">
        <v>235</v>
      </c>
      <c r="BD46" s="217" t="s">
        <v>235</v>
      </c>
    </row>
    <row r="47" spans="1:56" x14ac:dyDescent="0.25">
      <c r="A47" s="17" t="s">
        <v>38</v>
      </c>
      <c r="B47" s="216" t="s">
        <v>67</v>
      </c>
      <c r="C47" s="216" t="s">
        <v>67</v>
      </c>
      <c r="D47" s="216" t="s">
        <v>67</v>
      </c>
      <c r="E47" s="216" t="s">
        <v>67</v>
      </c>
      <c r="F47" s="217" t="s">
        <v>235</v>
      </c>
      <c r="H47" s="216" t="s">
        <v>67</v>
      </c>
      <c r="I47" s="216" t="s">
        <v>67</v>
      </c>
      <c r="J47" s="216" t="s">
        <v>330</v>
      </c>
      <c r="K47" s="216" t="s">
        <v>67</v>
      </c>
      <c r="L47" s="217" t="s">
        <v>330</v>
      </c>
      <c r="N47" s="216" t="s">
        <v>67</v>
      </c>
      <c r="O47" s="216" t="s">
        <v>330</v>
      </c>
      <c r="P47" s="216" t="s">
        <v>67</v>
      </c>
      <c r="Q47" s="216" t="s">
        <v>330</v>
      </c>
      <c r="R47" s="217" t="s">
        <v>235</v>
      </c>
      <c r="T47" s="216" t="s">
        <v>67</v>
      </c>
      <c r="U47" s="216" t="s">
        <v>67</v>
      </c>
      <c r="V47" s="216" t="s">
        <v>67</v>
      </c>
      <c r="W47" s="216" t="s">
        <v>67</v>
      </c>
      <c r="X47" s="217" t="s">
        <v>235</v>
      </c>
      <c r="Z47" s="216" t="s">
        <v>67</v>
      </c>
      <c r="AA47" s="216" t="s">
        <v>67</v>
      </c>
      <c r="AB47" s="216" t="s">
        <v>330</v>
      </c>
      <c r="AC47" s="216" t="s">
        <v>67</v>
      </c>
      <c r="AD47" s="217" t="s">
        <v>330</v>
      </c>
      <c r="AF47" s="216" t="s">
        <v>67</v>
      </c>
      <c r="AG47" s="216" t="s">
        <v>67</v>
      </c>
      <c r="AH47" s="216" t="s">
        <v>67</v>
      </c>
      <c r="AI47" s="216" t="s">
        <v>330</v>
      </c>
      <c r="AJ47" s="217" t="s">
        <v>235</v>
      </c>
      <c r="AL47" s="216" t="s">
        <v>231</v>
      </c>
      <c r="AM47" s="216" t="s">
        <v>231</v>
      </c>
      <c r="AN47" s="216" t="s">
        <v>231</v>
      </c>
      <c r="AO47" s="216" t="s">
        <v>330</v>
      </c>
      <c r="AP47" s="217" t="s">
        <v>235</v>
      </c>
      <c r="AR47" s="216" t="s">
        <v>231</v>
      </c>
      <c r="AS47" s="216" t="s">
        <v>231</v>
      </c>
      <c r="AT47" s="216" t="s">
        <v>330</v>
      </c>
      <c r="AU47" s="216" t="s">
        <v>231</v>
      </c>
      <c r="AV47" s="217" t="s">
        <v>330</v>
      </c>
      <c r="AX47" s="216" t="s">
        <v>67</v>
      </c>
      <c r="AY47" s="216" t="s">
        <v>67</v>
      </c>
      <c r="AZ47" s="216" t="s">
        <v>67</v>
      </c>
      <c r="BA47" s="216" t="s">
        <v>330</v>
      </c>
      <c r="BB47" s="217" t="s">
        <v>235</v>
      </c>
      <c r="BD47" s="217" t="s">
        <v>235</v>
      </c>
    </row>
    <row r="48" spans="1:56" x14ac:dyDescent="0.25">
      <c r="A48" s="17" t="s">
        <v>39</v>
      </c>
      <c r="B48" s="216" t="s">
        <v>67</v>
      </c>
      <c r="C48" s="216" t="s">
        <v>67</v>
      </c>
      <c r="D48" s="216" t="s">
        <v>67</v>
      </c>
      <c r="E48" s="216" t="s">
        <v>67</v>
      </c>
      <c r="F48" s="217" t="s">
        <v>235</v>
      </c>
      <c r="H48" s="216" t="s">
        <v>67</v>
      </c>
      <c r="I48" s="216" t="s">
        <v>67</v>
      </c>
      <c r="J48" s="216" t="s">
        <v>330</v>
      </c>
      <c r="K48" s="216" t="s">
        <v>67</v>
      </c>
      <c r="L48" s="217" t="s">
        <v>330</v>
      </c>
      <c r="N48" s="216" t="s">
        <v>67</v>
      </c>
      <c r="O48" s="216" t="s">
        <v>330</v>
      </c>
      <c r="P48" s="216" t="s">
        <v>67</v>
      </c>
      <c r="Q48" s="216" t="s">
        <v>330</v>
      </c>
      <c r="R48" s="217" t="s">
        <v>235</v>
      </c>
      <c r="T48" s="216" t="s">
        <v>67</v>
      </c>
      <c r="U48" s="216" t="s">
        <v>67</v>
      </c>
      <c r="V48" s="216" t="s">
        <v>67</v>
      </c>
      <c r="W48" s="216" t="s">
        <v>67</v>
      </c>
      <c r="X48" s="217" t="s">
        <v>235</v>
      </c>
      <c r="Z48" s="216" t="s">
        <v>231</v>
      </c>
      <c r="AA48" s="216" t="s">
        <v>231</v>
      </c>
      <c r="AB48" s="216" t="s">
        <v>330</v>
      </c>
      <c r="AC48" s="216" t="s">
        <v>231</v>
      </c>
      <c r="AD48" s="217" t="s">
        <v>330</v>
      </c>
      <c r="AF48" s="216" t="s">
        <v>67</v>
      </c>
      <c r="AG48" s="216" t="s">
        <v>67</v>
      </c>
      <c r="AH48" s="216" t="s">
        <v>67</v>
      </c>
      <c r="AI48" s="216" t="s">
        <v>330</v>
      </c>
      <c r="AJ48" s="217" t="s">
        <v>235</v>
      </c>
      <c r="AL48" s="216" t="s">
        <v>231</v>
      </c>
      <c r="AM48" s="216" t="s">
        <v>231</v>
      </c>
      <c r="AN48" s="216" t="s">
        <v>231</v>
      </c>
      <c r="AO48" s="216" t="s">
        <v>330</v>
      </c>
      <c r="AP48" s="217" t="s">
        <v>235</v>
      </c>
      <c r="AR48" s="216" t="s">
        <v>231</v>
      </c>
      <c r="AS48" s="216" t="s">
        <v>231</v>
      </c>
      <c r="AT48" s="216" t="s">
        <v>330</v>
      </c>
      <c r="AU48" s="216" t="s">
        <v>231</v>
      </c>
      <c r="AV48" s="217" t="s">
        <v>330</v>
      </c>
      <c r="AX48" s="216" t="s">
        <v>231</v>
      </c>
      <c r="AY48" s="216" t="s">
        <v>231</v>
      </c>
      <c r="AZ48" s="216" t="s">
        <v>231</v>
      </c>
      <c r="BA48" s="216" t="s">
        <v>330</v>
      </c>
      <c r="BB48" s="217" t="s">
        <v>235</v>
      </c>
      <c r="BD48" s="217" t="s">
        <v>235</v>
      </c>
    </row>
    <row r="49" spans="1:56" x14ac:dyDescent="0.25">
      <c r="A49" s="17" t="s">
        <v>40</v>
      </c>
      <c r="B49" s="216" t="s">
        <v>67</v>
      </c>
      <c r="C49" s="216" t="s">
        <v>67</v>
      </c>
      <c r="D49" s="216" t="s">
        <v>222</v>
      </c>
      <c r="E49" s="216" t="s">
        <v>67</v>
      </c>
      <c r="F49" s="217" t="s">
        <v>235</v>
      </c>
      <c r="H49" s="216" t="s">
        <v>67</v>
      </c>
      <c r="I49" s="216" t="s">
        <v>67</v>
      </c>
      <c r="J49" s="216" t="s">
        <v>330</v>
      </c>
      <c r="K49" s="216" t="s">
        <v>67</v>
      </c>
      <c r="L49" s="217" t="s">
        <v>330</v>
      </c>
      <c r="N49" s="216" t="s">
        <v>67</v>
      </c>
      <c r="O49" s="216" t="s">
        <v>330</v>
      </c>
      <c r="P49" s="216" t="s">
        <v>67</v>
      </c>
      <c r="Q49" s="216" t="s">
        <v>330</v>
      </c>
      <c r="R49" s="217" t="s">
        <v>235</v>
      </c>
      <c r="T49" s="216" t="s">
        <v>222</v>
      </c>
      <c r="U49" s="216" t="s">
        <v>67</v>
      </c>
      <c r="V49" s="216" t="s">
        <v>67</v>
      </c>
      <c r="W49" s="216" t="s">
        <v>222</v>
      </c>
      <c r="X49" s="217" t="s">
        <v>235</v>
      </c>
      <c r="Z49" s="216" t="s">
        <v>67</v>
      </c>
      <c r="AA49" s="216" t="s">
        <v>67</v>
      </c>
      <c r="AB49" s="216" t="s">
        <v>330</v>
      </c>
      <c r="AC49" s="216" t="s">
        <v>67</v>
      </c>
      <c r="AD49" s="217" t="s">
        <v>330</v>
      </c>
      <c r="AF49" s="216" t="s">
        <v>67</v>
      </c>
      <c r="AG49" s="216" t="s">
        <v>67</v>
      </c>
      <c r="AH49" s="216" t="s">
        <v>67</v>
      </c>
      <c r="AI49" s="216" t="s">
        <v>330</v>
      </c>
      <c r="AJ49" s="217" t="s">
        <v>235</v>
      </c>
      <c r="AL49" s="216" t="s">
        <v>231</v>
      </c>
      <c r="AM49" s="216" t="s">
        <v>231</v>
      </c>
      <c r="AN49" s="216" t="s">
        <v>231</v>
      </c>
      <c r="AO49" s="216" t="s">
        <v>330</v>
      </c>
      <c r="AP49" s="217" t="s">
        <v>235</v>
      </c>
      <c r="AR49" s="216" t="s">
        <v>231</v>
      </c>
      <c r="AS49" s="216" t="s">
        <v>231</v>
      </c>
      <c r="AT49" s="216" t="s">
        <v>330</v>
      </c>
      <c r="AU49" s="216" t="s">
        <v>231</v>
      </c>
      <c r="AV49" s="217" t="s">
        <v>330</v>
      </c>
      <c r="AX49" s="216" t="s">
        <v>231</v>
      </c>
      <c r="AY49" s="216" t="s">
        <v>231</v>
      </c>
      <c r="AZ49" s="216" t="s">
        <v>231</v>
      </c>
      <c r="BA49" s="216" t="s">
        <v>330</v>
      </c>
      <c r="BB49" s="217" t="s">
        <v>235</v>
      </c>
      <c r="BD49" s="217" t="s">
        <v>235</v>
      </c>
    </row>
    <row r="50" spans="1:56" x14ac:dyDescent="0.25">
      <c r="A50" s="17" t="s">
        <v>41</v>
      </c>
      <c r="B50" s="216" t="s">
        <v>67</v>
      </c>
      <c r="C50" s="216" t="s">
        <v>67</v>
      </c>
      <c r="D50" s="216" t="s">
        <v>67</v>
      </c>
      <c r="E50" s="216" t="s">
        <v>67</v>
      </c>
      <c r="F50" s="217" t="s">
        <v>235</v>
      </c>
      <c r="H50" s="216" t="s">
        <v>67</v>
      </c>
      <c r="I50" s="216" t="s">
        <v>67</v>
      </c>
      <c r="J50" s="216" t="s">
        <v>330</v>
      </c>
      <c r="K50" s="216" t="s">
        <v>67</v>
      </c>
      <c r="L50" s="217" t="s">
        <v>330</v>
      </c>
      <c r="N50" s="216" t="s">
        <v>67</v>
      </c>
      <c r="O50" s="216" t="s">
        <v>330</v>
      </c>
      <c r="P50" s="216" t="s">
        <v>67</v>
      </c>
      <c r="Q50" s="216" t="s">
        <v>330</v>
      </c>
      <c r="R50" s="217" t="s">
        <v>235</v>
      </c>
      <c r="T50" s="216" t="s">
        <v>67</v>
      </c>
      <c r="U50" s="216" t="s">
        <v>67</v>
      </c>
      <c r="V50" s="216" t="s">
        <v>67</v>
      </c>
      <c r="W50" s="216" t="s">
        <v>67</v>
      </c>
      <c r="X50" s="217" t="s">
        <v>235</v>
      </c>
      <c r="Z50" s="216" t="s">
        <v>67</v>
      </c>
      <c r="AA50" s="216" t="s">
        <v>67</v>
      </c>
      <c r="AB50" s="216" t="s">
        <v>330</v>
      </c>
      <c r="AC50" s="216" t="s">
        <v>67</v>
      </c>
      <c r="AD50" s="217" t="s">
        <v>330</v>
      </c>
      <c r="AF50" s="216" t="s">
        <v>67</v>
      </c>
      <c r="AG50" s="216" t="s">
        <v>67</v>
      </c>
      <c r="AH50" s="216" t="s">
        <v>67</v>
      </c>
      <c r="AI50" s="216" t="s">
        <v>330</v>
      </c>
      <c r="AJ50" s="217" t="s">
        <v>235</v>
      </c>
      <c r="AL50" s="216" t="s">
        <v>67</v>
      </c>
      <c r="AM50" s="216" t="s">
        <v>222</v>
      </c>
      <c r="AN50" s="216" t="s">
        <v>67</v>
      </c>
      <c r="AO50" s="216" t="s">
        <v>330</v>
      </c>
      <c r="AP50" s="217" t="s">
        <v>235</v>
      </c>
      <c r="AR50" s="216" t="s">
        <v>67</v>
      </c>
      <c r="AS50" s="216" t="s">
        <v>67</v>
      </c>
      <c r="AT50" s="216" t="s">
        <v>330</v>
      </c>
      <c r="AU50" s="216" t="s">
        <v>231</v>
      </c>
      <c r="AV50" s="217" t="s">
        <v>330</v>
      </c>
      <c r="AX50" s="216" t="s">
        <v>67</v>
      </c>
      <c r="AY50" s="216" t="s">
        <v>67</v>
      </c>
      <c r="AZ50" s="216" t="s">
        <v>67</v>
      </c>
      <c r="BA50" s="216" t="s">
        <v>330</v>
      </c>
      <c r="BB50" s="217" t="s">
        <v>235</v>
      </c>
      <c r="BD50" s="217" t="s">
        <v>235</v>
      </c>
    </row>
    <row r="51" spans="1:56" x14ac:dyDescent="0.25">
      <c r="A51" s="17" t="s">
        <v>42</v>
      </c>
      <c r="B51" s="216" t="s">
        <v>67</v>
      </c>
      <c r="C51" s="216" t="s">
        <v>67</v>
      </c>
      <c r="D51" s="216" t="s">
        <v>67</v>
      </c>
      <c r="E51" s="216" t="s">
        <v>67</v>
      </c>
      <c r="F51" s="217" t="s">
        <v>235</v>
      </c>
      <c r="H51" s="216" t="s">
        <v>67</v>
      </c>
      <c r="I51" s="216" t="s">
        <v>67</v>
      </c>
      <c r="J51" s="216" t="s">
        <v>330</v>
      </c>
      <c r="K51" s="216" t="s">
        <v>67</v>
      </c>
      <c r="L51" s="217" t="s">
        <v>330</v>
      </c>
      <c r="N51" s="216" t="s">
        <v>67</v>
      </c>
      <c r="O51" s="216" t="s">
        <v>330</v>
      </c>
      <c r="P51" s="216" t="s">
        <v>67</v>
      </c>
      <c r="Q51" s="216" t="s">
        <v>330</v>
      </c>
      <c r="R51" s="217" t="s">
        <v>235</v>
      </c>
      <c r="T51" s="216" t="s">
        <v>67</v>
      </c>
      <c r="U51" s="216" t="s">
        <v>67</v>
      </c>
      <c r="V51" s="216" t="s">
        <v>67</v>
      </c>
      <c r="W51" s="216" t="s">
        <v>67</v>
      </c>
      <c r="X51" s="217" t="s">
        <v>235</v>
      </c>
      <c r="Z51" s="216" t="s">
        <v>67</v>
      </c>
      <c r="AA51" s="216" t="s">
        <v>67</v>
      </c>
      <c r="AB51" s="216" t="s">
        <v>330</v>
      </c>
      <c r="AC51" s="216" t="s">
        <v>67</v>
      </c>
      <c r="AD51" s="217" t="s">
        <v>330</v>
      </c>
      <c r="AF51" s="216" t="s">
        <v>67</v>
      </c>
      <c r="AG51" s="216" t="s">
        <v>222</v>
      </c>
      <c r="AH51" s="216" t="s">
        <v>67</v>
      </c>
      <c r="AI51" s="216" t="s">
        <v>330</v>
      </c>
      <c r="AJ51" s="217" t="s">
        <v>235</v>
      </c>
      <c r="AL51" s="216" t="s">
        <v>67</v>
      </c>
      <c r="AM51" s="216" t="s">
        <v>67</v>
      </c>
      <c r="AN51" s="216" t="s">
        <v>67</v>
      </c>
      <c r="AO51" s="216" t="s">
        <v>330</v>
      </c>
      <c r="AP51" s="217" t="s">
        <v>235</v>
      </c>
      <c r="AR51" s="216" t="s">
        <v>67</v>
      </c>
      <c r="AS51" s="216" t="s">
        <v>67</v>
      </c>
      <c r="AT51" s="216" t="s">
        <v>330</v>
      </c>
      <c r="AU51" s="216" t="s">
        <v>67</v>
      </c>
      <c r="AV51" s="217" t="s">
        <v>330</v>
      </c>
      <c r="AX51" s="216" t="s">
        <v>67</v>
      </c>
      <c r="AY51" s="216" t="s">
        <v>222</v>
      </c>
      <c r="AZ51" s="216" t="s">
        <v>67</v>
      </c>
      <c r="BA51" s="216" t="s">
        <v>330</v>
      </c>
      <c r="BB51" s="217" t="s">
        <v>235</v>
      </c>
      <c r="BD51" s="217" t="s">
        <v>235</v>
      </c>
    </row>
    <row r="52" spans="1:56" x14ac:dyDescent="0.25">
      <c r="A52" s="17"/>
      <c r="B52" s="17"/>
      <c r="C52" s="17"/>
      <c r="D52" s="17"/>
      <c r="E52" s="17"/>
      <c r="F52" s="17"/>
      <c r="H52" s="17"/>
      <c r="I52" s="17"/>
      <c r="J52" s="17"/>
      <c r="K52" s="17"/>
      <c r="L52" s="17"/>
      <c r="N52" s="17"/>
      <c r="O52" s="17"/>
      <c r="P52" s="17"/>
      <c r="Q52" s="17"/>
      <c r="R52" s="17"/>
      <c r="T52" s="17"/>
      <c r="U52" s="17"/>
      <c r="V52" s="17"/>
      <c r="W52" s="17"/>
      <c r="X52" s="17"/>
      <c r="Z52" s="17"/>
      <c r="AA52" s="17"/>
      <c r="AB52" s="17"/>
      <c r="AC52" s="17"/>
      <c r="AD52" s="17"/>
      <c r="AF52" s="17"/>
      <c r="AG52" s="17"/>
      <c r="AH52" s="17"/>
      <c r="AI52" s="17"/>
      <c r="AJ52" s="17"/>
      <c r="AL52" s="17"/>
      <c r="AM52" s="17"/>
      <c r="AN52" s="17"/>
      <c r="AO52" s="17"/>
      <c r="AP52" s="17"/>
      <c r="AR52" s="17"/>
      <c r="AS52" s="17"/>
      <c r="AT52" s="17"/>
      <c r="AU52" s="17"/>
      <c r="AV52" s="17"/>
      <c r="AX52" s="17"/>
      <c r="AY52" s="17"/>
      <c r="AZ52" s="17"/>
      <c r="BA52" s="17"/>
      <c r="BB52" s="17"/>
      <c r="BD52" s="17"/>
    </row>
  </sheetData>
  <mergeCells count="3">
    <mergeCell ref="AF2:AJ3"/>
    <mergeCell ref="AR2:AV3"/>
    <mergeCell ref="AX2:B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autoPageBreaks="0" fitToPage="1"/>
  </sheetPr>
  <dimension ref="B1:N117"/>
  <sheetViews>
    <sheetView showGridLines="0" zoomScaleNormal="100" workbookViewId="0">
      <pane xSplit="1" ySplit="15" topLeftCell="B16" activePane="bottomRight" state="frozen"/>
      <selection pane="topRight" activeCell="B1" sqref="B1"/>
      <selection pane="bottomLeft" activeCell="A16" sqref="A16"/>
      <selection pane="bottomRight" activeCell="B3" sqref="B3:M4"/>
    </sheetView>
  </sheetViews>
  <sheetFormatPr defaultRowHeight="30" customHeight="1" x14ac:dyDescent="0.25"/>
  <cols>
    <col min="1" max="1" width="1.85546875" style="238" customWidth="1"/>
    <col min="2" max="2" width="30.140625" style="238" customWidth="1"/>
    <col min="3" max="3" width="3" style="238" customWidth="1"/>
    <col min="4" max="4" width="30.140625" style="238" customWidth="1"/>
    <col min="5" max="5" width="3" style="238" customWidth="1"/>
    <col min="6" max="6" width="30.140625" style="238" customWidth="1"/>
    <col min="7" max="7" width="3" style="238" customWidth="1"/>
    <col min="8" max="8" width="22.7109375" style="238" customWidth="1"/>
    <col min="9" max="9" width="8.140625" style="238" customWidth="1"/>
    <col min="10" max="10" width="3" style="238" customWidth="1"/>
    <col min="11" max="11" width="14" style="238" customWidth="1"/>
    <col min="12" max="12" width="2" style="238" customWidth="1"/>
    <col min="13" max="13" width="14" style="238" customWidth="1"/>
    <col min="14" max="14" width="1.85546875" style="238" customWidth="1"/>
    <col min="15" max="16384" width="9.140625" style="238"/>
  </cols>
  <sheetData>
    <row r="1" spans="2:14" ht="8.25" customHeight="1" thickBot="1" x14ac:dyDescent="0.45">
      <c r="C1" s="255"/>
      <c r="D1" s="255"/>
      <c r="E1" s="255"/>
      <c r="F1" s="255"/>
      <c r="G1" s="255"/>
      <c r="H1" s="255"/>
      <c r="J1" s="255"/>
      <c r="K1" s="255"/>
      <c r="L1" s="237"/>
      <c r="M1" s="237"/>
    </row>
    <row r="2" spans="2:14" ht="38.25" customHeight="1" thickBot="1" x14ac:dyDescent="0.45">
      <c r="B2" s="256" t="s">
        <v>340</v>
      </c>
      <c r="C2" s="255"/>
      <c r="D2" s="255"/>
      <c r="E2" s="255"/>
      <c r="F2" s="255"/>
      <c r="G2" s="255"/>
      <c r="H2" s="255"/>
      <c r="J2" s="368" t="s">
        <v>367</v>
      </c>
      <c r="K2" s="368"/>
      <c r="L2" s="368">
        <v>2019</v>
      </c>
      <c r="M2" s="368"/>
    </row>
    <row r="3" spans="2:14" ht="21.75" customHeight="1" x14ac:dyDescent="0.25">
      <c r="B3" s="369" t="str">
        <f>'Home Page'!B4</f>
        <v>Life Sciences Institute</v>
      </c>
      <c r="C3" s="369"/>
      <c r="D3" s="369"/>
      <c r="E3" s="369"/>
      <c r="F3" s="369"/>
      <c r="G3" s="369"/>
      <c r="H3" s="369"/>
      <c r="I3" s="369"/>
      <c r="J3" s="369"/>
      <c r="K3" s="369"/>
      <c r="L3" s="369"/>
      <c r="M3" s="369"/>
    </row>
    <row r="4" spans="2:14" ht="6.75" customHeight="1" thickBot="1" x14ac:dyDescent="0.3">
      <c r="B4" s="370"/>
      <c r="C4" s="370"/>
      <c r="D4" s="370"/>
      <c r="E4" s="370"/>
      <c r="F4" s="370"/>
      <c r="G4" s="370"/>
      <c r="H4" s="370"/>
      <c r="I4" s="370"/>
      <c r="J4" s="370"/>
      <c r="K4" s="370"/>
      <c r="L4" s="370"/>
      <c r="M4" s="370"/>
    </row>
    <row r="5" spans="2:14" ht="24" customHeight="1" thickBot="1" x14ac:dyDescent="0.3">
      <c r="B5" s="371" t="s">
        <v>266</v>
      </c>
      <c r="C5" s="371"/>
      <c r="D5" s="428"/>
      <c r="E5" s="428"/>
      <c r="F5" s="428"/>
      <c r="G5" s="428"/>
      <c r="H5" s="428"/>
      <c r="I5" s="428"/>
      <c r="J5" s="428"/>
      <c r="K5" s="428"/>
      <c r="L5" s="428"/>
      <c r="M5" s="428"/>
    </row>
    <row r="6" spans="2:14" s="241" customFormat="1" ht="18.75" customHeight="1" thickBot="1" x14ac:dyDescent="0.3">
      <c r="B6" s="239"/>
      <c r="C6" s="239"/>
      <c r="D6" s="240"/>
      <c r="E6" s="239"/>
      <c r="F6" s="239"/>
      <c r="G6" s="239"/>
      <c r="H6" s="239"/>
      <c r="J6" s="239"/>
      <c r="K6" s="372"/>
      <c r="L6" s="372"/>
      <c r="M6" s="372"/>
    </row>
    <row r="7" spans="2:14" s="312" customFormat="1" ht="28.5" customHeight="1" x14ac:dyDescent="0.25">
      <c r="B7" s="330" t="s">
        <v>365</v>
      </c>
      <c r="C7" s="331"/>
      <c r="D7" s="330" t="s">
        <v>363</v>
      </c>
      <c r="E7" s="331"/>
      <c r="F7" s="330" t="s">
        <v>364</v>
      </c>
      <c r="G7" s="331"/>
      <c r="H7" s="385" t="s">
        <v>366</v>
      </c>
      <c r="I7" s="386"/>
      <c r="J7" s="331"/>
      <c r="K7" s="373" t="str">
        <f>Calculations!B12</f>
        <v>Total Assets #</v>
      </c>
      <c r="L7" s="374"/>
      <c r="M7" s="375"/>
      <c r="N7" s="332"/>
    </row>
    <row r="8" spans="2:14" ht="42" customHeight="1" x14ac:dyDescent="0.25">
      <c r="B8" s="285">
        <f ca="1">IFERROR(Calculations!G8,"")</f>
        <v>1587.9008400000014</v>
      </c>
      <c r="C8" s="242"/>
      <c r="D8" s="285">
        <f ca="1">IFERROR(Calculations!G9,"")</f>
        <v>363.77817000000005</v>
      </c>
      <c r="E8" s="237"/>
      <c r="F8" s="285">
        <f ca="1">IFERROR(Calculations!G10,"")</f>
        <v>46.104099999999995</v>
      </c>
      <c r="G8" s="237"/>
      <c r="H8" s="387">
        <f ca="1">IFERROR(Calculations!G11,"")</f>
        <v>4280.3485799999989</v>
      </c>
      <c r="I8" s="388"/>
      <c r="J8" s="243"/>
      <c r="K8" s="376">
        <f ca="1">IFERROR(Calculations!G12,"")</f>
        <v>518</v>
      </c>
      <c r="L8" s="377"/>
      <c r="M8" s="378"/>
    </row>
    <row r="9" spans="2:14" s="250" customFormat="1" ht="18.75" customHeight="1" x14ac:dyDescent="0.25">
      <c r="B9" s="244">
        <f ca="1">Calculations!H8</f>
        <v>-0.19817860450793279</v>
      </c>
      <c r="C9" s="245"/>
      <c r="D9" s="246">
        <f ca="1">Calculations!H9</f>
        <v>-0.19185961861393597</v>
      </c>
      <c r="E9" s="247"/>
      <c r="F9" s="246">
        <f ca="1">Calculations!H10</f>
        <v>-0.60839150028607814</v>
      </c>
      <c r="G9" s="247"/>
      <c r="H9" s="389">
        <f ca="1">Calculations!H11</f>
        <v>-1.0487984738843381E-2</v>
      </c>
      <c r="I9" s="390"/>
      <c r="J9" s="248"/>
      <c r="K9" s="379">
        <f ca="1">Calculations!H12</f>
        <v>5.7142857142857162E-2</v>
      </c>
      <c r="L9" s="380"/>
      <c r="M9" s="381"/>
      <c r="N9" s="249"/>
    </row>
    <row r="10" spans="2:14" ht="18.75" customHeight="1" x14ac:dyDescent="0.2">
      <c r="B10" s="251"/>
      <c r="C10" s="252"/>
      <c r="D10" s="251"/>
      <c r="E10" s="252"/>
      <c r="F10" s="251"/>
      <c r="G10" s="252"/>
      <c r="H10" s="391"/>
      <c r="I10" s="392"/>
      <c r="J10" s="310"/>
      <c r="K10" s="382"/>
      <c r="L10" s="383"/>
      <c r="M10" s="384"/>
      <c r="N10" s="253"/>
    </row>
    <row r="11" spans="2:14" ht="18.75" customHeight="1" thickBot="1" x14ac:dyDescent="0.3">
      <c r="B11" s="254"/>
      <c r="C11" s="237"/>
      <c r="D11" s="254"/>
      <c r="E11" s="237"/>
      <c r="F11" s="254"/>
      <c r="G11" s="237"/>
      <c r="H11" s="393"/>
      <c r="I11" s="394"/>
      <c r="J11" s="237"/>
      <c r="K11" s="365"/>
      <c r="L11" s="366"/>
      <c r="M11" s="367"/>
    </row>
    <row r="12" spans="2:14" ht="18.75" customHeight="1" thickBot="1" x14ac:dyDescent="0.3">
      <c r="B12" s="237"/>
      <c r="C12" s="237"/>
      <c r="D12" s="237"/>
      <c r="E12" s="237"/>
      <c r="F12" s="237"/>
      <c r="G12" s="237"/>
      <c r="H12" s="237"/>
      <c r="J12" s="237"/>
      <c r="K12" s="237"/>
      <c r="L12" s="237"/>
      <c r="M12" s="237"/>
    </row>
    <row r="13" spans="2:14" ht="24" customHeight="1" thickBot="1" x14ac:dyDescent="0.3">
      <c r="B13" s="364" t="s">
        <v>267</v>
      </c>
      <c r="C13" s="364"/>
      <c r="D13" s="428"/>
      <c r="E13" s="428"/>
      <c r="F13" s="428"/>
      <c r="G13" s="428"/>
      <c r="H13" s="428"/>
      <c r="I13" s="428"/>
      <c r="J13" s="428"/>
      <c r="K13" s="428"/>
      <c r="L13" s="428"/>
      <c r="M13" s="428"/>
    </row>
    <row r="14" spans="2:14" ht="18.75" customHeight="1" x14ac:dyDescent="0.25">
      <c r="B14" s="360"/>
      <c r="C14" s="360"/>
      <c r="D14" s="360"/>
      <c r="E14" s="360"/>
      <c r="F14" s="360"/>
      <c r="G14" s="360"/>
      <c r="H14" s="360"/>
      <c r="I14" s="360"/>
      <c r="J14" s="360"/>
      <c r="K14" s="360"/>
      <c r="L14" s="360"/>
      <c r="M14" s="360"/>
    </row>
    <row r="15" spans="2:14" s="312" customFormat="1" ht="18.75" customHeight="1" x14ac:dyDescent="0.25">
      <c r="B15" s="361" t="s">
        <v>268</v>
      </c>
      <c r="C15" s="361"/>
      <c r="D15" s="329" t="str">
        <f>"FISCAL YEAR ("&amp;SelectedYear&amp;")"</f>
        <v>FISCAL YEAR (2019)</v>
      </c>
      <c r="E15" s="362" t="str">
        <f>"PREVIOUS FISCAL YEAR ("&amp;SelectedYear-1&amp;")"</f>
        <v>PREVIOUS FISCAL YEAR (2018)</v>
      </c>
      <c r="F15" s="362"/>
      <c r="G15" s="362"/>
      <c r="H15" s="329" t="s">
        <v>278</v>
      </c>
      <c r="I15" s="329"/>
      <c r="J15" s="363" t="str">
        <f ca="1">CONCATENATE(Years," YEAR TREND")</f>
        <v>5 YEAR TREND</v>
      </c>
      <c r="K15" s="363"/>
      <c r="L15" s="363"/>
      <c r="M15" s="363"/>
    </row>
    <row r="16" spans="2:14" ht="15.75" x14ac:dyDescent="0.25">
      <c r="B16" s="354" t="s">
        <v>283</v>
      </c>
      <c r="C16" s="354"/>
      <c r="D16" s="354"/>
      <c r="E16" s="354"/>
      <c r="F16" s="354"/>
      <c r="G16" s="354"/>
      <c r="H16" s="354"/>
      <c r="I16" s="354"/>
      <c r="J16" s="354"/>
      <c r="K16" s="354"/>
      <c r="L16" s="354"/>
      <c r="M16" s="354"/>
    </row>
    <row r="17" spans="2:13" ht="15.75" x14ac:dyDescent="0.25">
      <c r="B17" s="311" t="s">
        <v>219</v>
      </c>
      <c r="C17" s="312"/>
      <c r="D17" s="312"/>
      <c r="E17" s="312"/>
      <c r="F17" s="312"/>
      <c r="G17" s="312"/>
      <c r="H17" s="312"/>
      <c r="J17" s="312"/>
      <c r="K17" s="312"/>
      <c r="L17" s="312"/>
      <c r="M17" s="312"/>
    </row>
    <row r="18" spans="2:13" ht="30" customHeight="1" x14ac:dyDescent="0.25">
      <c r="B18" s="357" t="str">
        <f>Calculations!B21</f>
        <v>Total Paid $</v>
      </c>
      <c r="C18" s="357"/>
      <c r="D18" s="313">
        <f ca="1">IF($B18="","",Calculations!G21)</f>
        <v>13352.26607</v>
      </c>
      <c r="E18" s="359">
        <f ca="1">IF($B18="","",Calculations!F21)</f>
        <v>13046.20874</v>
      </c>
      <c r="F18" s="359"/>
      <c r="G18" s="359"/>
      <c r="H18" s="317">
        <f ca="1">IFERROR(D18-E18,"")</f>
        <v>306.05732999999964</v>
      </c>
      <c r="I18" s="333"/>
      <c r="J18" s="350"/>
      <c r="K18" s="350"/>
      <c r="L18" s="350"/>
      <c r="M18" s="350"/>
    </row>
    <row r="19" spans="2:13" ht="30" customHeight="1" x14ac:dyDescent="0.25">
      <c r="B19" s="357" t="str">
        <f>Calculations!B22</f>
        <v>Total Transfers $</v>
      </c>
      <c r="C19" s="357"/>
      <c r="D19" s="313">
        <f ca="1">IF($B19="","",Calculations!G22)</f>
        <v>1587.9008400000014</v>
      </c>
      <c r="E19" s="359">
        <f ca="1">IF($B19="","",Calculations!F22)</f>
        <v>1980.36726</v>
      </c>
      <c r="F19" s="359"/>
      <c r="G19" s="359"/>
      <c r="H19" s="317">
        <f ca="1">IFERROR(D19-E19,"")</f>
        <v>-392.46641999999861</v>
      </c>
      <c r="I19" s="333"/>
      <c r="J19" s="350"/>
      <c r="K19" s="350"/>
      <c r="L19" s="350"/>
      <c r="M19" s="350"/>
    </row>
    <row r="20" spans="2:13" ht="30" customHeight="1" x14ac:dyDescent="0.25">
      <c r="B20" s="357" t="str">
        <f>Calculations!B24</f>
        <v>Total Transfers %</v>
      </c>
      <c r="C20" s="357"/>
      <c r="D20" s="315">
        <f ca="1">IF($B20="","",Calculations!G24)</f>
        <v>0.1189236966725605</v>
      </c>
      <c r="E20" s="352">
        <f ca="1">IF($B20="","",Calculations!F24)</f>
        <v>0.15179638004167026</v>
      </c>
      <c r="F20" s="352"/>
      <c r="G20" s="352"/>
      <c r="H20" s="316">
        <f ca="1">IFERROR(D20-E20,"")</f>
        <v>-3.2872683369109756E-2</v>
      </c>
      <c r="J20" s="350"/>
      <c r="K20" s="350"/>
      <c r="L20" s="350"/>
      <c r="M20" s="350"/>
    </row>
    <row r="21" spans="2:13" ht="30" customHeight="1" x14ac:dyDescent="0.25">
      <c r="B21" s="358" t="str">
        <f>Calculations!B23</f>
        <v>Retro Salary Transfers &gt; 90 Days $</v>
      </c>
      <c r="C21" s="358"/>
      <c r="D21" s="313">
        <f ca="1">IF($B21="","",Calculations!G23)</f>
        <v>363.77817000000005</v>
      </c>
      <c r="E21" s="359">
        <f ca="1">IF($B21="","",Calculations!F23)</f>
        <v>450.14229999999998</v>
      </c>
      <c r="F21" s="359"/>
      <c r="G21" s="359"/>
      <c r="H21" s="317">
        <f ca="1">IFERROR(D21-E21,"")</f>
        <v>-86.364129999999932</v>
      </c>
      <c r="I21" s="333"/>
      <c r="J21" s="350"/>
      <c r="K21" s="350"/>
      <c r="L21" s="350"/>
      <c r="M21" s="350"/>
    </row>
    <row r="22" spans="2:13" ht="30" customHeight="1" x14ac:dyDescent="0.25">
      <c r="B22" s="358" t="str">
        <f>Calculations!B25</f>
        <v>Transfers &gt; 90 Days %</v>
      </c>
      <c r="C22" s="358"/>
      <c r="D22" s="315">
        <f ca="1">IF($B22="","",Calculations!G25)</f>
        <v>2.7244676528528765E-2</v>
      </c>
      <c r="E22" s="352">
        <f ca="1">IF($B22="","",Calculations!F25)</f>
        <v>3.4503686777588687E-2</v>
      </c>
      <c r="F22" s="352"/>
      <c r="G22" s="352"/>
      <c r="H22" s="318">
        <f ca="1">IFERROR(D22-E22,"")</f>
        <v>-7.2590102490599218E-3</v>
      </c>
      <c r="I22" s="335"/>
      <c r="J22" s="350"/>
      <c r="K22" s="350"/>
      <c r="L22" s="350"/>
      <c r="M22" s="350"/>
    </row>
    <row r="23" spans="2:13" ht="15.75" x14ac:dyDescent="0.25">
      <c r="B23" s="319" t="s">
        <v>141</v>
      </c>
      <c r="C23" s="312"/>
      <c r="D23" s="312"/>
      <c r="E23" s="312"/>
      <c r="F23" s="312"/>
      <c r="G23" s="312"/>
      <c r="H23" s="312"/>
      <c r="J23" s="312"/>
      <c r="K23" s="312"/>
      <c r="L23" s="312"/>
      <c r="M23" s="312"/>
    </row>
    <row r="24" spans="2:13" ht="30" customHeight="1" x14ac:dyDescent="0.25">
      <c r="B24" s="358" t="str">
        <f>Calculations!B26</f>
        <v>Total Paid $</v>
      </c>
      <c r="C24" s="358"/>
      <c r="D24" s="320">
        <f ca="1">IF($B24="","",Calculations!G26)</f>
        <v>5263.1038199999894</v>
      </c>
      <c r="E24" s="349">
        <f ca="1">IF($B24="","",Calculations!F26)</f>
        <v>5708.0775299999932</v>
      </c>
      <c r="F24" s="349"/>
      <c r="G24" s="349"/>
      <c r="H24" s="314">
        <f ca="1">IFERROR(D24-E24,"")</f>
        <v>-444.97371000000385</v>
      </c>
      <c r="I24" s="335"/>
      <c r="J24" s="350"/>
      <c r="K24" s="350"/>
      <c r="L24" s="350"/>
      <c r="M24" s="350"/>
    </row>
    <row r="25" spans="2:13" ht="30" customHeight="1" x14ac:dyDescent="0.25">
      <c r="B25" s="358" t="str">
        <f>Calculations!B27</f>
        <v>Total Transfers $</v>
      </c>
      <c r="C25" s="358"/>
      <c r="D25" s="320">
        <f ca="1">IF($B25="","",Calculations!G27)</f>
        <v>674.19994999999983</v>
      </c>
      <c r="E25" s="349">
        <f ca="1">IF($B25="","",Calculations!F27)</f>
        <v>645.94058000000018</v>
      </c>
      <c r="F25" s="349"/>
      <c r="G25" s="349"/>
      <c r="H25" s="314">
        <f ca="1">IFERROR(D25-E25,"")</f>
        <v>28.259369999999649</v>
      </c>
      <c r="I25" s="335"/>
      <c r="J25" s="350"/>
      <c r="K25" s="350"/>
      <c r="L25" s="350"/>
      <c r="M25" s="350"/>
    </row>
    <row r="26" spans="2:13" ht="30" customHeight="1" x14ac:dyDescent="0.25">
      <c r="B26" s="358" t="str">
        <f>Calculations!B29</f>
        <v>Total Transfers %</v>
      </c>
      <c r="C26" s="358"/>
      <c r="D26" s="315">
        <f ca="1">IF($B26="","",Calculations!G29)</f>
        <v>0.12809930661789629</v>
      </c>
      <c r="E26" s="352">
        <f ca="1">IF($B26="","",Calculations!F29)</f>
        <v>0.11316254493831324</v>
      </c>
      <c r="F26" s="352"/>
      <c r="G26" s="352"/>
      <c r="H26" s="336">
        <f ca="1">IFERROR(D26-E26,"")*100</f>
        <v>1.4936761679583048</v>
      </c>
      <c r="I26" s="337" t="s">
        <v>368</v>
      </c>
      <c r="J26" s="350"/>
      <c r="K26" s="350"/>
      <c r="L26" s="350"/>
      <c r="M26" s="350"/>
    </row>
    <row r="27" spans="2:13" ht="30" customHeight="1" x14ac:dyDescent="0.25">
      <c r="B27" s="358" t="str">
        <f>Calculations!B28</f>
        <v>Transfers After PG End Date $</v>
      </c>
      <c r="C27" s="358"/>
      <c r="D27" s="320">
        <f ca="1">IF($B27="","",Calculations!G28)</f>
        <v>70.930460000000011</v>
      </c>
      <c r="E27" s="349">
        <f ca="1">IF($B27="","",Calculations!F28)</f>
        <v>97.517179999999996</v>
      </c>
      <c r="F27" s="349"/>
      <c r="G27" s="349"/>
      <c r="H27" s="317">
        <f ca="1">IFERROR(D27-E27,"")</f>
        <v>-26.586719999999985</v>
      </c>
      <c r="I27" s="335"/>
      <c r="J27" s="350"/>
      <c r="K27" s="350"/>
      <c r="L27" s="350"/>
      <c r="M27" s="350"/>
    </row>
    <row r="28" spans="2:13" ht="30" customHeight="1" x14ac:dyDescent="0.25">
      <c r="B28" s="358" t="str">
        <f>Calculations!B30</f>
        <v>Transfers After PG End Date %</v>
      </c>
      <c r="C28" s="358"/>
      <c r="D28" s="315">
        <f ca="1">IF($B28="","",Calculations!G30)</f>
        <v>1.3476925864631747E-2</v>
      </c>
      <c r="E28" s="352">
        <f ca="1">IF($B28="","",Calculations!F30)</f>
        <v>1.708406718154722E-2</v>
      </c>
      <c r="F28" s="352"/>
      <c r="G28" s="352"/>
      <c r="H28" s="336">
        <f ca="1">IFERROR(D28-E28,"")*100</f>
        <v>-0.36071413169154726</v>
      </c>
      <c r="I28" s="337" t="s">
        <v>368</v>
      </c>
      <c r="J28" s="350"/>
      <c r="K28" s="350"/>
      <c r="L28" s="350"/>
      <c r="M28" s="350"/>
    </row>
    <row r="29" spans="2:13" ht="15.75" x14ac:dyDescent="0.25">
      <c r="B29" s="319" t="s">
        <v>107</v>
      </c>
      <c r="C29" s="312"/>
      <c r="D29" s="312"/>
      <c r="E29" s="312"/>
      <c r="F29" s="312"/>
      <c r="G29" s="312"/>
      <c r="H29" s="312"/>
      <c r="J29" s="312"/>
      <c r="K29" s="312"/>
      <c r="L29" s="312"/>
      <c r="M29" s="312"/>
    </row>
    <row r="30" spans="2:13" ht="30" customHeight="1" x14ac:dyDescent="0.25">
      <c r="B30" s="358" t="str">
        <f>Calculations!B31</f>
        <v>Faculty/Staff Required to Certify #</v>
      </c>
      <c r="C30" s="358"/>
      <c r="D30" s="321">
        <f ca="1">IF($B30="","",Calculations!G31)</f>
        <v>101</v>
      </c>
      <c r="E30" s="353">
        <f ca="1">IF($B30="","",Calculations!F31)</f>
        <v>124</v>
      </c>
      <c r="F30" s="353"/>
      <c r="G30" s="353"/>
      <c r="H30" s="322">
        <f ca="1">IFERROR(D30-E30,"")</f>
        <v>-23</v>
      </c>
      <c r="I30" s="322"/>
      <c r="J30" s="350"/>
      <c r="K30" s="350"/>
      <c r="L30" s="350"/>
      <c r="M30" s="350"/>
    </row>
    <row r="31" spans="2:13" ht="30" customHeight="1" x14ac:dyDescent="0.25">
      <c r="B31" s="357" t="str">
        <f>Calculations!B32</f>
        <v>On-Time #</v>
      </c>
      <c r="C31" s="357"/>
      <c r="D31" s="321">
        <f ca="1">IF($B31="","",Calculations!G32)</f>
        <v>99</v>
      </c>
      <c r="E31" s="353">
        <f ca="1">IF($B31="","",Calculations!F32)</f>
        <v>123</v>
      </c>
      <c r="F31" s="353"/>
      <c r="G31" s="353"/>
      <c r="H31" s="335">
        <f ca="1">IFERROR(D31-E31,"")</f>
        <v>-24</v>
      </c>
      <c r="I31" s="335"/>
      <c r="J31" s="350"/>
      <c r="K31" s="350"/>
      <c r="L31" s="350"/>
      <c r="M31" s="350"/>
    </row>
    <row r="32" spans="2:13" ht="30" customHeight="1" x14ac:dyDescent="0.25">
      <c r="B32" s="357" t="str">
        <f>Calculations!B33</f>
        <v>On-Time %</v>
      </c>
      <c r="C32" s="357"/>
      <c r="D32" s="315">
        <f ca="1">IF($B32="","",Calculations!G33)</f>
        <v>0.98019801980198018</v>
      </c>
      <c r="E32" s="352">
        <f ca="1">IF($B32="","",Calculations!F33)</f>
        <v>0.99193548387096775</v>
      </c>
      <c r="F32" s="352"/>
      <c r="G32" s="352"/>
      <c r="H32" s="336">
        <f ca="1">IFERROR(D32-E32,"")*100</f>
        <v>-1.1737464068987569</v>
      </c>
      <c r="I32" s="337" t="s">
        <v>368</v>
      </c>
      <c r="J32" s="350"/>
      <c r="K32" s="350"/>
      <c r="L32" s="350"/>
      <c r="M32" s="350"/>
    </row>
    <row r="33" spans="2:13" ht="15.75" x14ac:dyDescent="0.25">
      <c r="B33" s="354" t="s">
        <v>294</v>
      </c>
      <c r="C33" s="354"/>
      <c r="D33" s="354"/>
      <c r="E33" s="354"/>
      <c r="F33" s="354"/>
      <c r="G33" s="354"/>
      <c r="H33" s="354"/>
      <c r="I33" s="354"/>
      <c r="J33" s="354"/>
      <c r="K33" s="354"/>
      <c r="L33" s="354"/>
      <c r="M33" s="354"/>
    </row>
    <row r="34" spans="2:13" ht="15.75" x14ac:dyDescent="0.25">
      <c r="B34" s="311" t="s">
        <v>210</v>
      </c>
      <c r="C34" s="312"/>
      <c r="D34" s="312"/>
      <c r="E34" s="312"/>
      <c r="F34" s="312"/>
      <c r="G34" s="312"/>
      <c r="H34" s="312"/>
      <c r="J34" s="312"/>
      <c r="K34" s="312"/>
      <c r="L34" s="312"/>
      <c r="M34" s="312"/>
    </row>
    <row r="35" spans="2:13" ht="30" customHeight="1" x14ac:dyDescent="0.25">
      <c r="B35" s="357" t="str">
        <f>Calculations!B34</f>
        <v>Deposit Locations #</v>
      </c>
      <c r="C35" s="357"/>
      <c r="D35" s="324">
        <f ca="1">IF($B35="","",Calculations!G34)</f>
        <v>1</v>
      </c>
      <c r="E35" s="355">
        <f ca="1">IF($B35="","",Calculations!F34)</f>
        <v>1</v>
      </c>
      <c r="F35" s="355"/>
      <c r="G35" s="355"/>
      <c r="H35" s="334">
        <f t="shared" ref="H35:H91" ca="1" si="0">IFERROR(D35-E35,"")</f>
        <v>0</v>
      </c>
      <c r="I35" s="338"/>
      <c r="J35" s="350"/>
      <c r="K35" s="350"/>
      <c r="L35" s="350"/>
      <c r="M35" s="350"/>
    </row>
    <row r="36" spans="2:13" ht="30" customHeight="1" x14ac:dyDescent="0.25">
      <c r="B36" s="357" t="str">
        <f>Calculations!B35</f>
        <v>Deposits #</v>
      </c>
      <c r="C36" s="357"/>
      <c r="D36" s="321">
        <f ca="1">IF($B36="","",Calculations!G35)</f>
        <v>32</v>
      </c>
      <c r="E36" s="353">
        <f ca="1">IF($B36="","",Calculations!F35)</f>
        <v>40</v>
      </c>
      <c r="F36" s="353"/>
      <c r="G36" s="353"/>
      <c r="H36" s="334">
        <f t="shared" ca="1" si="0"/>
        <v>-8</v>
      </c>
      <c r="I36" s="338"/>
      <c r="J36" s="350"/>
      <c r="K36" s="350"/>
      <c r="L36" s="350"/>
      <c r="M36" s="350"/>
    </row>
    <row r="37" spans="2:13" ht="30" customHeight="1" x14ac:dyDescent="0.25">
      <c r="B37" s="357" t="str">
        <f>Calculations!B36</f>
        <v>Deposits $</v>
      </c>
      <c r="C37" s="357"/>
      <c r="D37" s="320">
        <f ca="1">IF($B37="","",Calculations!G36)</f>
        <v>46.104099999999995</v>
      </c>
      <c r="E37" s="349">
        <f ca="1">IF($B37="","",Calculations!F36)</f>
        <v>117.73008</v>
      </c>
      <c r="F37" s="349"/>
      <c r="G37" s="349"/>
      <c r="H37" s="317">
        <f t="shared" ca="1" si="0"/>
        <v>-71.625979999999998</v>
      </c>
      <c r="I37" s="333"/>
      <c r="J37" s="350"/>
      <c r="K37" s="350"/>
      <c r="L37" s="350"/>
      <c r="M37" s="350"/>
    </row>
    <row r="38" spans="2:13" ht="30" customHeight="1" x14ac:dyDescent="0.25">
      <c r="B38" s="357" t="str">
        <f>Calculations!B37</f>
        <v>Depositors #</v>
      </c>
      <c r="C38" s="357"/>
      <c r="D38" s="324">
        <f ca="1">IF($B38="","",Calculations!G37)</f>
        <v>3</v>
      </c>
      <c r="E38" s="355">
        <f ca="1">IF($B38="","",Calculations!F37)</f>
        <v>4</v>
      </c>
      <c r="F38" s="355"/>
      <c r="G38" s="355"/>
      <c r="H38" s="334">
        <f t="shared" ca="1" si="0"/>
        <v>-1</v>
      </c>
      <c r="I38" s="338"/>
      <c r="J38" s="350"/>
      <c r="K38" s="350"/>
      <c r="L38" s="350"/>
      <c r="M38" s="350"/>
    </row>
    <row r="39" spans="2:13" ht="30" customHeight="1" x14ac:dyDescent="0.25">
      <c r="B39" s="358" t="str">
        <f>Calculations!B38</f>
        <v>Depositors - Up to Date on Training #</v>
      </c>
      <c r="C39" s="358"/>
      <c r="D39" s="324">
        <f ca="1">IF($B39="","",Calculations!G38)</f>
        <v>2</v>
      </c>
      <c r="E39" s="355">
        <f ca="1">IF($B39="","",Calculations!F38)</f>
        <v>3</v>
      </c>
      <c r="F39" s="355"/>
      <c r="G39" s="355"/>
      <c r="H39" s="334">
        <f t="shared" ca="1" si="0"/>
        <v>-1</v>
      </c>
      <c r="I39" s="338"/>
      <c r="J39" s="350"/>
      <c r="K39" s="350"/>
      <c r="L39" s="350"/>
      <c r="M39" s="350"/>
    </row>
    <row r="40" spans="2:13" ht="30" customHeight="1" x14ac:dyDescent="0.25">
      <c r="B40" s="358" t="str">
        <f>Calculations!B39</f>
        <v>Depositors - Up to Date on Training %</v>
      </c>
      <c r="C40" s="358"/>
      <c r="D40" s="315">
        <f ca="1">IF($B40="","",Calculations!G39)</f>
        <v>0.66666666666666663</v>
      </c>
      <c r="E40" s="352">
        <f ca="1">IF($B40="","",Calculations!F39)</f>
        <v>0.75</v>
      </c>
      <c r="F40" s="352"/>
      <c r="G40" s="352"/>
      <c r="H40" s="336">
        <f ca="1">IFERROR(D40-E40,"")*100</f>
        <v>-8.3333333333333375</v>
      </c>
      <c r="I40" s="337" t="s">
        <v>368</v>
      </c>
      <c r="J40" s="350"/>
      <c r="K40" s="350"/>
      <c r="L40" s="350"/>
      <c r="M40" s="350"/>
    </row>
    <row r="41" spans="2:13" ht="15.75" x14ac:dyDescent="0.25">
      <c r="B41" s="311" t="s">
        <v>211</v>
      </c>
      <c r="C41" s="312"/>
      <c r="D41" s="312"/>
      <c r="E41" s="312"/>
      <c r="F41" s="312"/>
      <c r="G41" s="312"/>
      <c r="H41" s="312"/>
      <c r="J41" s="312"/>
      <c r="K41" s="312"/>
      <c r="L41" s="312"/>
      <c r="M41" s="312"/>
    </row>
    <row r="42" spans="2:13" ht="30" customHeight="1" x14ac:dyDescent="0.25">
      <c r="B42" s="348" t="str">
        <f>Calculations!B40</f>
        <v>Merchants #</v>
      </c>
      <c r="C42" s="348"/>
      <c r="D42" s="324" t="str">
        <f ca="1">IF($B42="","",Calculations!G40)</f>
        <v>n/a</v>
      </c>
      <c r="E42" s="355">
        <f ca="1">IF($B42="","",Calculations!F40)</f>
        <v>0</v>
      </c>
      <c r="F42" s="355"/>
      <c r="G42" s="355"/>
      <c r="H42" s="322" t="str">
        <f t="shared" ca="1" si="0"/>
        <v/>
      </c>
      <c r="I42" s="338"/>
      <c r="J42" s="350"/>
      <c r="K42" s="350"/>
      <c r="L42" s="350"/>
      <c r="M42" s="350"/>
    </row>
    <row r="43" spans="2:13" ht="30" customHeight="1" x14ac:dyDescent="0.25">
      <c r="B43" s="348" t="str">
        <f>Calculations!B41</f>
        <v>Merchants Compliant #</v>
      </c>
      <c r="C43" s="348"/>
      <c r="D43" s="324" t="str">
        <f ca="1">IF($B43="","",Calculations!G41)</f>
        <v>n/a</v>
      </c>
      <c r="E43" s="355">
        <f ca="1">IF($B43="","",Calculations!F41)</f>
        <v>0</v>
      </c>
      <c r="F43" s="355"/>
      <c r="G43" s="355"/>
      <c r="H43" s="322" t="str">
        <f t="shared" ca="1" si="0"/>
        <v/>
      </c>
      <c r="I43" s="338"/>
      <c r="J43" s="350"/>
      <c r="K43" s="350"/>
      <c r="L43" s="350"/>
      <c r="M43" s="350"/>
    </row>
    <row r="44" spans="2:13" ht="30" customHeight="1" x14ac:dyDescent="0.25">
      <c r="B44" s="348" t="str">
        <f>Calculations!B42</f>
        <v>Merchants Compliant %</v>
      </c>
      <c r="C44" s="348"/>
      <c r="D44" s="315">
        <f ca="1">IF($B44="","",Calculations!G42)</f>
        <v>0</v>
      </c>
      <c r="E44" s="352">
        <f ca="1">IF($B44="","",Calculations!F42)</f>
        <v>0</v>
      </c>
      <c r="F44" s="352"/>
      <c r="G44" s="352"/>
      <c r="H44" s="336">
        <f ca="1">IFERROR(D44-E44,"")*100</f>
        <v>0</v>
      </c>
      <c r="I44" s="337" t="s">
        <v>368</v>
      </c>
      <c r="J44" s="350"/>
      <c r="K44" s="350"/>
      <c r="L44" s="350"/>
      <c r="M44" s="350"/>
    </row>
    <row r="45" spans="2:13" ht="30" customHeight="1" x14ac:dyDescent="0.25">
      <c r="B45" s="348" t="str">
        <f>Calculations!B43</f>
        <v>Sales #</v>
      </c>
      <c r="C45" s="348"/>
      <c r="D45" s="321">
        <f ca="1">IF($B45="","",Calculations!G43)</f>
        <v>0</v>
      </c>
      <c r="E45" s="353">
        <f ca="1">IF($B45="","",Calculations!F43)</f>
        <v>0</v>
      </c>
      <c r="F45" s="353"/>
      <c r="G45" s="353"/>
      <c r="H45" s="322">
        <f t="shared" ca="1" si="0"/>
        <v>0</v>
      </c>
      <c r="I45" s="338"/>
      <c r="J45" s="350"/>
      <c r="K45" s="350"/>
      <c r="L45" s="350"/>
      <c r="M45" s="350"/>
    </row>
    <row r="46" spans="2:13" ht="30" customHeight="1" x14ac:dyDescent="0.25">
      <c r="B46" s="348" t="str">
        <f>Calculations!B44</f>
        <v>Sales $</v>
      </c>
      <c r="C46" s="348"/>
      <c r="D46" s="320">
        <f ca="1">IF($B46="","",Calculations!G44)</f>
        <v>0</v>
      </c>
      <c r="E46" s="349">
        <f ca="1">IF($B46="","",Calculations!F44)</f>
        <v>0</v>
      </c>
      <c r="F46" s="349"/>
      <c r="G46" s="349"/>
      <c r="H46" s="314">
        <f t="shared" ca="1" si="0"/>
        <v>0</v>
      </c>
      <c r="I46" s="338"/>
      <c r="J46" s="350"/>
      <c r="K46" s="350"/>
      <c r="L46" s="350"/>
      <c r="M46" s="350"/>
    </row>
    <row r="47" spans="2:13" ht="30" customHeight="1" x14ac:dyDescent="0.25">
      <c r="B47" s="348" t="str">
        <f>Calculations!B45</f>
        <v>Refunds #</v>
      </c>
      <c r="C47" s="348"/>
      <c r="D47" s="324">
        <f ca="1">IF($B47="","",Calculations!G45)</f>
        <v>0</v>
      </c>
      <c r="E47" s="356">
        <f ca="1">IF($B47="","",Calculations!F45)</f>
        <v>0</v>
      </c>
      <c r="F47" s="356"/>
      <c r="G47" s="356"/>
      <c r="H47" s="322">
        <f t="shared" ca="1" si="0"/>
        <v>0</v>
      </c>
      <c r="I47" s="338"/>
      <c r="J47" s="350"/>
      <c r="K47" s="350"/>
      <c r="L47" s="350"/>
      <c r="M47" s="350"/>
    </row>
    <row r="48" spans="2:13" ht="30" customHeight="1" x14ac:dyDescent="0.25">
      <c r="B48" s="348" t="str">
        <f>Calculations!B46</f>
        <v>Refunds $</v>
      </c>
      <c r="C48" s="348"/>
      <c r="D48" s="320">
        <f ca="1">IF($B48="","",Calculations!G46)</f>
        <v>0</v>
      </c>
      <c r="E48" s="349">
        <f ca="1">IF($B48="","",Calculations!F46)</f>
        <v>0</v>
      </c>
      <c r="F48" s="349"/>
      <c r="G48" s="349"/>
      <c r="H48" s="314">
        <f t="shared" ca="1" si="0"/>
        <v>0</v>
      </c>
      <c r="I48" s="338"/>
      <c r="J48" s="350"/>
      <c r="K48" s="350"/>
      <c r="L48" s="350"/>
      <c r="M48" s="350"/>
    </row>
    <row r="49" spans="2:13" ht="30" customHeight="1" x14ac:dyDescent="0.25">
      <c r="B49" s="348" t="str">
        <f>Calculations!B47</f>
        <v>Authorized Users #</v>
      </c>
      <c r="C49" s="348"/>
      <c r="D49" s="324">
        <f ca="1">IF($B49="","",Calculations!G47)</f>
        <v>0</v>
      </c>
      <c r="E49" s="355">
        <f ca="1">IF($B49="","",Calculations!F47)</f>
        <v>0</v>
      </c>
      <c r="F49" s="355"/>
      <c r="G49" s="355"/>
      <c r="H49" s="322">
        <f t="shared" ca="1" si="0"/>
        <v>0</v>
      </c>
      <c r="I49" s="338"/>
      <c r="J49" s="350"/>
      <c r="K49" s="350"/>
      <c r="L49" s="350"/>
      <c r="M49" s="350"/>
    </row>
    <row r="50" spans="2:13" ht="30" customHeight="1" x14ac:dyDescent="0.25">
      <c r="B50" s="348" t="str">
        <f>Calculations!B48</f>
        <v>Users Up to Date on Training #</v>
      </c>
      <c r="C50" s="348"/>
      <c r="D50" s="324">
        <f ca="1">IF($B50="","",Calculations!G48)</f>
        <v>0</v>
      </c>
      <c r="E50" s="355">
        <f ca="1">IF($B50="","",Calculations!F48)</f>
        <v>0</v>
      </c>
      <c r="F50" s="355"/>
      <c r="G50" s="355"/>
      <c r="H50" s="323">
        <f t="shared" ca="1" si="0"/>
        <v>0</v>
      </c>
      <c r="I50" s="338"/>
      <c r="J50" s="350"/>
      <c r="K50" s="350"/>
      <c r="L50" s="350"/>
      <c r="M50" s="350"/>
    </row>
    <row r="51" spans="2:13" ht="30" customHeight="1" x14ac:dyDescent="0.25">
      <c r="B51" s="348" t="str">
        <f>Calculations!B49</f>
        <v>Users Up to Date on Training %</v>
      </c>
      <c r="C51" s="348"/>
      <c r="D51" s="315">
        <f ca="1">IF($B51="","",Calculations!G49)</f>
        <v>0</v>
      </c>
      <c r="E51" s="352">
        <f ca="1">IF($B51="","",Calculations!F49)</f>
        <v>0</v>
      </c>
      <c r="F51" s="352"/>
      <c r="G51" s="352"/>
      <c r="H51" s="336">
        <f ca="1">IFERROR(D51-E51,"")*100</f>
        <v>0</v>
      </c>
      <c r="I51" s="337" t="s">
        <v>368</v>
      </c>
      <c r="J51" s="350"/>
      <c r="K51" s="350"/>
      <c r="L51" s="350"/>
      <c r="M51" s="350"/>
    </row>
    <row r="52" spans="2:13" ht="15.75" x14ac:dyDescent="0.25">
      <c r="B52" s="354" t="s">
        <v>309</v>
      </c>
      <c r="C52" s="354"/>
      <c r="D52" s="354"/>
      <c r="E52" s="354"/>
      <c r="F52" s="354"/>
      <c r="G52" s="354"/>
      <c r="H52" s="354"/>
      <c r="I52" s="354"/>
      <c r="J52" s="354"/>
      <c r="K52" s="354"/>
      <c r="L52" s="354"/>
      <c r="M52" s="354"/>
    </row>
    <row r="53" spans="2:13" ht="15.75" x14ac:dyDescent="0.25">
      <c r="B53" s="311" t="s">
        <v>132</v>
      </c>
      <c r="C53" s="312"/>
      <c r="D53" s="312"/>
      <c r="E53" s="312"/>
      <c r="F53" s="312"/>
      <c r="G53" s="312"/>
      <c r="H53" s="312"/>
      <c r="J53" s="312"/>
      <c r="K53" s="312"/>
      <c r="L53" s="312"/>
      <c r="M53" s="312"/>
    </row>
    <row r="54" spans="2:13" ht="30" customHeight="1" x14ac:dyDescent="0.25">
      <c r="B54" s="348" t="str">
        <f>Calculations!B15</f>
        <v>Open PCards</v>
      </c>
      <c r="C54" s="348"/>
      <c r="D54" s="325">
        <f ca="1">IF($B54="","",Calculations!G15)</f>
        <v>25</v>
      </c>
      <c r="E54" s="356">
        <f ca="1">IF($B54="","",Calculations!F15)</f>
        <v>24</v>
      </c>
      <c r="F54" s="356"/>
      <c r="G54" s="356"/>
      <c r="H54" s="322">
        <f t="shared" ref="H54:H58" ca="1" si="1">IFERROR(D54-E54,"")</f>
        <v>1</v>
      </c>
      <c r="I54" s="338"/>
      <c r="J54" s="350"/>
      <c r="K54" s="350"/>
      <c r="L54" s="350"/>
      <c r="M54" s="350"/>
    </row>
    <row r="55" spans="2:13" ht="30" customHeight="1" x14ac:dyDescent="0.25">
      <c r="B55" s="348" t="str">
        <f>Calculations!B16</f>
        <v>PCards Open for 6 Months</v>
      </c>
      <c r="C55" s="348"/>
      <c r="D55" s="325">
        <f ca="1">IF($B55="","",Calculations!G16)</f>
        <v>21</v>
      </c>
      <c r="E55" s="356">
        <f ca="1">IF($B55="","",Calculations!F16)</f>
        <v>21</v>
      </c>
      <c r="F55" s="356"/>
      <c r="G55" s="356"/>
      <c r="H55" s="322">
        <f t="shared" ca="1" si="1"/>
        <v>0</v>
      </c>
      <c r="I55" s="338"/>
      <c r="J55" s="350"/>
      <c r="K55" s="350"/>
      <c r="L55" s="350"/>
      <c r="M55" s="350"/>
    </row>
    <row r="56" spans="2:13" ht="30" customHeight="1" x14ac:dyDescent="0.25">
      <c r="B56" s="348" t="str">
        <f>Calculations!B17</f>
        <v>Underutilized PCards #</v>
      </c>
      <c r="C56" s="348"/>
      <c r="D56" s="325">
        <f ca="1">IF($B56="","",Calculations!G17)</f>
        <v>2</v>
      </c>
      <c r="E56" s="356">
        <f ca="1">IF($B56="","",Calculations!F17)</f>
        <v>1</v>
      </c>
      <c r="F56" s="356"/>
      <c r="G56" s="356"/>
      <c r="H56" s="322">
        <f t="shared" ca="1" si="1"/>
        <v>1</v>
      </c>
      <c r="I56" s="338"/>
      <c r="J56" s="350"/>
      <c r="K56" s="350"/>
      <c r="L56" s="350"/>
      <c r="M56" s="350"/>
    </row>
    <row r="57" spans="2:13" ht="30" customHeight="1" x14ac:dyDescent="0.25">
      <c r="B57" s="348" t="str">
        <f>Calculations!B18</f>
        <v>Underutilized PCards %</v>
      </c>
      <c r="C57" s="348"/>
      <c r="D57" s="315">
        <f ca="1">IF($B57="","",Calculations!G18)</f>
        <v>9.5238095238095233E-2</v>
      </c>
      <c r="E57" s="352">
        <f ca="1">IF($B57="","",Calculations!F18)</f>
        <v>4.7619047619047616E-2</v>
      </c>
      <c r="F57" s="352"/>
      <c r="G57" s="352"/>
      <c r="H57" s="336">
        <f ca="1">IFERROR(D57-E57,"")*100</f>
        <v>4.7619047619047619</v>
      </c>
      <c r="I57" s="337" t="s">
        <v>368</v>
      </c>
      <c r="J57" s="350"/>
      <c r="K57" s="350"/>
      <c r="L57" s="350"/>
      <c r="M57" s="350"/>
    </row>
    <row r="58" spans="2:13" ht="30" customHeight="1" x14ac:dyDescent="0.25">
      <c r="B58" s="348" t="str">
        <f>Calculations!B19</f>
        <v>Unused Pcards #</v>
      </c>
      <c r="C58" s="348"/>
      <c r="D58" s="325">
        <f ca="1">IF($B58="","",Calculations!G19)</f>
        <v>0</v>
      </c>
      <c r="E58" s="356">
        <f ca="1">IF($B58="","",Calculations!F19)</f>
        <v>0</v>
      </c>
      <c r="F58" s="356"/>
      <c r="G58" s="356"/>
      <c r="H58" s="323">
        <f t="shared" ca="1" si="1"/>
        <v>0</v>
      </c>
      <c r="I58" s="338"/>
      <c r="J58" s="350"/>
      <c r="K58" s="350"/>
      <c r="L58" s="350"/>
      <c r="M58" s="350"/>
    </row>
    <row r="59" spans="2:13" ht="30" customHeight="1" x14ac:dyDescent="0.25">
      <c r="B59" s="348" t="str">
        <f>Calculations!B20</f>
        <v>Unused Pcards %</v>
      </c>
      <c r="C59" s="348"/>
      <c r="D59" s="315">
        <f ca="1">IF($B59="","",Calculations!G20)</f>
        <v>0</v>
      </c>
      <c r="E59" s="352">
        <f ca="1">IF($B59="","",Calculations!F20)</f>
        <v>0</v>
      </c>
      <c r="F59" s="352"/>
      <c r="G59" s="352"/>
      <c r="H59" s="336">
        <f ca="1">IFERROR(D59-E59,"")*100</f>
        <v>0</v>
      </c>
      <c r="I59" s="337" t="s">
        <v>368</v>
      </c>
      <c r="J59" s="350"/>
      <c r="K59" s="350"/>
      <c r="L59" s="350"/>
      <c r="M59" s="350"/>
    </row>
    <row r="60" spans="2:13" ht="31.5" x14ac:dyDescent="0.25">
      <c r="B60" s="311" t="s">
        <v>309</v>
      </c>
      <c r="C60" s="312"/>
      <c r="D60" s="312"/>
      <c r="E60" s="312"/>
      <c r="F60" s="312"/>
      <c r="G60" s="312"/>
      <c r="H60" s="312"/>
      <c r="J60" s="312"/>
      <c r="K60" s="312"/>
      <c r="L60" s="312"/>
      <c r="M60" s="312"/>
    </row>
    <row r="61" spans="2:13" ht="30" customHeight="1" x14ac:dyDescent="0.25">
      <c r="B61" s="351" t="str">
        <f>Calculations!B50</f>
        <v>Final Approvers #</v>
      </c>
      <c r="C61" s="351"/>
      <c r="D61" s="324">
        <f ca="1">IF($B61="","",Calculations!G50)</f>
        <v>7</v>
      </c>
      <c r="E61" s="355">
        <f ca="1">IF($B61="","",Calculations!F50)</f>
        <v>7</v>
      </c>
      <c r="F61" s="355"/>
      <c r="G61" s="355"/>
      <c r="H61" s="334">
        <f t="shared" ca="1" si="0"/>
        <v>0</v>
      </c>
      <c r="I61" s="338"/>
      <c r="J61" s="350"/>
      <c r="K61" s="350"/>
      <c r="L61" s="350"/>
      <c r="M61" s="350"/>
    </row>
    <row r="62" spans="2:13" ht="30" customHeight="1" x14ac:dyDescent="0.25">
      <c r="B62" s="351" t="str">
        <f>Calculations!B51</f>
        <v>Final Approvers Up to Date on Training #</v>
      </c>
      <c r="C62" s="351"/>
      <c r="D62" s="324">
        <f ca="1">IF($B62="","",Calculations!G51)</f>
        <v>5</v>
      </c>
      <c r="E62" s="355">
        <f ca="1">IF($B62="","",Calculations!F51)</f>
        <v>6</v>
      </c>
      <c r="F62" s="355"/>
      <c r="G62" s="355"/>
      <c r="H62" s="334">
        <f t="shared" ca="1" si="0"/>
        <v>-1</v>
      </c>
      <c r="I62" s="338"/>
      <c r="J62" s="350"/>
      <c r="K62" s="350"/>
      <c r="L62" s="350"/>
      <c r="M62" s="350"/>
    </row>
    <row r="63" spans="2:13" ht="30" customHeight="1" x14ac:dyDescent="0.25">
      <c r="B63" s="351" t="str">
        <f>Calculations!B52</f>
        <v>Final Approvers Up to Date on Training %</v>
      </c>
      <c r="C63" s="351"/>
      <c r="D63" s="315">
        <f ca="1">IF($B63="","",Calculations!G52)</f>
        <v>0.7142857142857143</v>
      </c>
      <c r="E63" s="352">
        <f ca="1">IF($B63="","",Calculations!F52)</f>
        <v>0.8571428571428571</v>
      </c>
      <c r="F63" s="352"/>
      <c r="G63" s="352"/>
      <c r="H63" s="336">
        <f ca="1">IFERROR(D63-E63,"")*100</f>
        <v>-14.285714285714279</v>
      </c>
      <c r="I63" s="337" t="s">
        <v>368</v>
      </c>
      <c r="J63" s="350"/>
      <c r="K63" s="350"/>
      <c r="L63" s="350"/>
      <c r="M63" s="350"/>
    </row>
    <row r="64" spans="2:13" ht="15.75" x14ac:dyDescent="0.25">
      <c r="B64" s="354" t="s">
        <v>314</v>
      </c>
      <c r="C64" s="354"/>
      <c r="D64" s="354"/>
      <c r="E64" s="354"/>
      <c r="F64" s="354"/>
      <c r="G64" s="354"/>
      <c r="H64" s="354"/>
      <c r="I64" s="354"/>
      <c r="J64" s="354"/>
      <c r="K64" s="354"/>
      <c r="L64" s="354"/>
      <c r="M64" s="354"/>
    </row>
    <row r="65" spans="2:13" ht="15.75" x14ac:dyDescent="0.25">
      <c r="B65" s="311"/>
      <c r="C65" s="312"/>
      <c r="D65" s="312"/>
      <c r="E65" s="312"/>
      <c r="F65" s="312"/>
      <c r="G65" s="312"/>
      <c r="H65" s="312"/>
      <c r="J65" s="312"/>
      <c r="K65" s="312"/>
      <c r="L65" s="312"/>
      <c r="M65" s="312"/>
    </row>
    <row r="66" spans="2:13" ht="30" customHeight="1" x14ac:dyDescent="0.25">
      <c r="B66" s="348" t="str">
        <f>Calculations!B53</f>
        <v>Gift Fund Balance $</v>
      </c>
      <c r="C66" s="348"/>
      <c r="D66" s="320">
        <f ca="1">IF($B66="","",Calculations!G53)</f>
        <v>4280.3485799999989</v>
      </c>
      <c r="E66" s="349">
        <f ca="1">IF($B66="","",Calculations!F53)</f>
        <v>4325.7166299999999</v>
      </c>
      <c r="F66" s="349"/>
      <c r="G66" s="349"/>
      <c r="H66" s="317">
        <f t="shared" ca="1" si="0"/>
        <v>-45.368050000000949</v>
      </c>
      <c r="I66" s="333"/>
      <c r="J66" s="350"/>
      <c r="K66" s="350"/>
      <c r="L66" s="350"/>
      <c r="M66" s="350"/>
    </row>
    <row r="67" spans="2:13" ht="30" customHeight="1" x14ac:dyDescent="0.25">
      <c r="B67" s="351" t="str">
        <f>Calculations!B54</f>
        <v>No Expenses &gt; 5 years #</v>
      </c>
      <c r="C67" s="351"/>
      <c r="D67" s="324">
        <f ca="1">IF($B67="","",Calculations!G54)</f>
        <v>2</v>
      </c>
      <c r="E67" s="355">
        <f ca="1">IF($B67="","",Calculations!F54)</f>
        <v>3</v>
      </c>
      <c r="F67" s="355"/>
      <c r="G67" s="355"/>
      <c r="H67" s="334">
        <f t="shared" ca="1" si="0"/>
        <v>-1</v>
      </c>
      <c r="I67" s="338"/>
      <c r="J67" s="350"/>
      <c r="K67" s="350"/>
      <c r="L67" s="350"/>
      <c r="M67" s="350"/>
    </row>
    <row r="68" spans="2:13" ht="30" customHeight="1" x14ac:dyDescent="0.25">
      <c r="B68" s="351" t="str">
        <f>Calculations!B55</f>
        <v>No Expenses &gt; 5 years Balance $</v>
      </c>
      <c r="C68" s="351"/>
      <c r="D68" s="320">
        <f ca="1">IF($B68="","",Calculations!G55)</f>
        <v>69.670140000000004</v>
      </c>
      <c r="E68" s="349">
        <f ca="1">IF($B68="","",Calculations!F55)</f>
        <v>337.72307000000001</v>
      </c>
      <c r="F68" s="349"/>
      <c r="G68" s="349"/>
      <c r="H68" s="317">
        <f t="shared" ca="1" si="0"/>
        <v>-268.05293</v>
      </c>
      <c r="I68" s="333"/>
      <c r="J68" s="350"/>
      <c r="K68" s="350"/>
      <c r="L68" s="350"/>
      <c r="M68" s="350"/>
    </row>
    <row r="69" spans="2:13" ht="15.75" x14ac:dyDescent="0.25">
      <c r="B69" s="354" t="s">
        <v>318</v>
      </c>
      <c r="C69" s="354"/>
      <c r="D69" s="354"/>
      <c r="E69" s="354"/>
      <c r="F69" s="354"/>
      <c r="G69" s="354"/>
      <c r="H69" s="354"/>
      <c r="I69" s="354"/>
      <c r="J69" s="354"/>
      <c r="K69" s="354"/>
      <c r="L69" s="354"/>
      <c r="M69" s="354"/>
    </row>
    <row r="70" spans="2:13" ht="15.75" x14ac:dyDescent="0.25">
      <c r="B70" s="311"/>
      <c r="C70" s="312"/>
      <c r="D70" s="312"/>
      <c r="E70" s="312"/>
      <c r="F70" s="312"/>
      <c r="G70" s="312"/>
      <c r="H70" s="312"/>
      <c r="J70" s="312"/>
      <c r="K70" s="312"/>
      <c r="L70" s="312"/>
      <c r="M70" s="312"/>
    </row>
    <row r="71" spans="2:13" ht="30" customHeight="1" x14ac:dyDescent="0.25">
      <c r="B71" s="348" t="str">
        <f>Calculations!B56</f>
        <v>Total Disbursed $</v>
      </c>
      <c r="C71" s="348"/>
      <c r="D71" s="320">
        <f ca="1">IF($B71="","",Calculations!G56)</f>
        <v>1347.4111299999972</v>
      </c>
      <c r="E71" s="349">
        <f ca="1">IF($B71="","",Calculations!F56)</f>
        <v>1249.3119999999999</v>
      </c>
      <c r="F71" s="349"/>
      <c r="G71" s="349"/>
      <c r="H71" s="314">
        <f t="shared" ca="1" si="0"/>
        <v>98.099129999997331</v>
      </c>
      <c r="I71" s="338"/>
      <c r="J71" s="350"/>
      <c r="K71" s="350"/>
      <c r="L71" s="350"/>
      <c r="M71" s="350"/>
    </row>
    <row r="72" spans="2:13" ht="30" customHeight="1" x14ac:dyDescent="0.25">
      <c r="B72" s="348" t="str">
        <f>Calculations!B57</f>
        <v>Overrides $</v>
      </c>
      <c r="C72" s="348"/>
      <c r="D72" s="320">
        <f ca="1">IF($B72="","",Calculations!G57)</f>
        <v>275.05</v>
      </c>
      <c r="E72" s="349">
        <f ca="1">IF($B72="","",Calculations!F57)</f>
        <v>138.71299999999999</v>
      </c>
      <c r="F72" s="349"/>
      <c r="G72" s="349"/>
      <c r="H72" s="314">
        <f t="shared" ca="1" si="0"/>
        <v>136.33700000000002</v>
      </c>
      <c r="I72" s="338"/>
      <c r="J72" s="350"/>
      <c r="K72" s="350"/>
      <c r="L72" s="350"/>
      <c r="M72" s="350"/>
    </row>
    <row r="73" spans="2:13" ht="30" customHeight="1" x14ac:dyDescent="0.25">
      <c r="B73" s="348" t="str">
        <f>Calculations!B58</f>
        <v>Overrides %</v>
      </c>
      <c r="C73" s="348"/>
      <c r="D73" s="315">
        <f ca="1">IF($B73="","",Calculations!G58)</f>
        <v>0.20413220128291545</v>
      </c>
      <c r="E73" s="352">
        <f ca="1">IF($B73="","",Calculations!F58)</f>
        <v>0.11103151174406393</v>
      </c>
      <c r="F73" s="352"/>
      <c r="G73" s="352"/>
      <c r="H73" s="339">
        <f ca="1">IFERROR(D73-E73,"")*100</f>
        <v>9.3100689538851515</v>
      </c>
      <c r="I73" s="338" t="s">
        <v>368</v>
      </c>
      <c r="J73" s="350"/>
      <c r="K73" s="350"/>
      <c r="L73" s="350"/>
      <c r="M73" s="350"/>
    </row>
    <row r="74" spans="2:13" ht="30" customHeight="1" x14ac:dyDescent="0.25">
      <c r="B74" s="351" t="str">
        <f>Calculations!B59</f>
        <v>No Disbursement Rules Applied (DR4) $</v>
      </c>
      <c r="C74" s="351"/>
      <c r="D74" s="320">
        <f ca="1">IF($B74="","",Calculations!G59)</f>
        <v>472.48700000000002</v>
      </c>
      <c r="E74" s="349">
        <f ca="1">IF($B74="","",Calculations!F59)</f>
        <v>513.52599999999995</v>
      </c>
      <c r="F74" s="349"/>
      <c r="G74" s="349"/>
      <c r="H74" s="314">
        <f t="shared" ca="1" si="0"/>
        <v>-41.03899999999993</v>
      </c>
      <c r="J74" s="350"/>
      <c r="K74" s="350"/>
      <c r="L74" s="350"/>
      <c r="M74" s="350"/>
    </row>
    <row r="75" spans="2:13" ht="30" customHeight="1" x14ac:dyDescent="0.25">
      <c r="B75" s="351" t="str">
        <f>Calculations!B60</f>
        <v>No Disbursement Rules Applied (DR4) %</v>
      </c>
      <c r="C75" s="351"/>
      <c r="D75" s="315">
        <f ca="1">IF($B75="","",Calculations!G60)</f>
        <v>0.35066282998567849</v>
      </c>
      <c r="E75" s="352">
        <f ca="1">IF($B75="","",Calculations!F60)</f>
        <v>0.41104704029097616</v>
      </c>
      <c r="F75" s="352"/>
      <c r="G75" s="352"/>
      <c r="H75" s="339">
        <f ca="1">IFERROR(D75-E75,"")*100</f>
        <v>-6.0384210305297668</v>
      </c>
      <c r="I75" s="338" t="s">
        <v>368</v>
      </c>
      <c r="J75" s="350"/>
      <c r="K75" s="350"/>
      <c r="L75" s="350"/>
      <c r="M75" s="350"/>
    </row>
    <row r="76" spans="2:13" ht="30" customHeight="1" x14ac:dyDescent="0.25">
      <c r="B76" s="351" t="str">
        <f>Calculations!B61</f>
        <v>Non Traditional Students #</v>
      </c>
      <c r="C76" s="351"/>
      <c r="D76" s="324">
        <f ca="1">IF($B76="","",Calculations!G61)</f>
        <v>32</v>
      </c>
      <c r="E76" s="355">
        <f ca="1">IF($B76="","",Calculations!F61)</f>
        <v>30</v>
      </c>
      <c r="F76" s="355"/>
      <c r="G76" s="355"/>
      <c r="H76" s="322">
        <f t="shared" ca="1" si="0"/>
        <v>2</v>
      </c>
      <c r="I76" s="338"/>
      <c r="J76" s="350"/>
      <c r="K76" s="350"/>
      <c r="L76" s="350"/>
      <c r="M76" s="350"/>
    </row>
    <row r="77" spans="2:13" ht="30" customHeight="1" x14ac:dyDescent="0.25">
      <c r="B77" s="351" t="str">
        <f>Calculations!B62</f>
        <v>Non Traditional Students $</v>
      </c>
      <c r="C77" s="351"/>
      <c r="D77" s="320">
        <f ca="1">IF($B77="","",Calculations!G62)</f>
        <v>162.489</v>
      </c>
      <c r="E77" s="349">
        <f ca="1">IF($B77="","",Calculations!F62)</f>
        <v>166.39</v>
      </c>
      <c r="F77" s="349"/>
      <c r="G77" s="349"/>
      <c r="H77" s="317">
        <f t="shared" ca="1" si="0"/>
        <v>-3.900999999999982</v>
      </c>
      <c r="I77" s="338"/>
      <c r="J77" s="350"/>
      <c r="K77" s="350"/>
      <c r="L77" s="350"/>
      <c r="M77" s="350"/>
    </row>
    <row r="78" spans="2:13" ht="15.75" x14ac:dyDescent="0.25">
      <c r="B78" s="354" t="s">
        <v>236</v>
      </c>
      <c r="C78" s="354"/>
      <c r="D78" s="354"/>
      <c r="E78" s="354"/>
      <c r="F78" s="354"/>
      <c r="G78" s="354"/>
      <c r="H78" s="354"/>
      <c r="I78" s="354"/>
      <c r="J78" s="354"/>
      <c r="K78" s="354"/>
      <c r="L78" s="354"/>
      <c r="M78" s="354"/>
    </row>
    <row r="79" spans="2:13" ht="15.75" x14ac:dyDescent="0.25">
      <c r="B79" s="311" t="s">
        <v>46</v>
      </c>
      <c r="C79" s="312"/>
      <c r="D79" s="312"/>
      <c r="E79" s="312"/>
      <c r="F79" s="312"/>
      <c r="G79" s="312"/>
      <c r="H79" s="312"/>
      <c r="J79" s="312"/>
      <c r="K79" s="312"/>
      <c r="L79" s="312"/>
      <c r="M79" s="312"/>
    </row>
    <row r="80" spans="2:13" ht="30" customHeight="1" x14ac:dyDescent="0.25">
      <c r="B80" s="348" t="str">
        <f>Calculations!B63</f>
        <v>Total Assets #</v>
      </c>
      <c r="C80" s="348"/>
      <c r="D80" s="321">
        <f ca="1">IF($B80="","",Calculations!G63)</f>
        <v>518</v>
      </c>
      <c r="E80" s="353">
        <f ca="1">IF($B80="","",Calculations!F63)</f>
        <v>490</v>
      </c>
      <c r="F80" s="353"/>
      <c r="G80" s="353"/>
      <c r="H80" s="334">
        <f t="shared" ca="1" si="0"/>
        <v>28</v>
      </c>
      <c r="I80" s="338"/>
      <c r="J80" s="350"/>
      <c r="K80" s="350"/>
      <c r="L80" s="350"/>
      <c r="M80" s="350"/>
    </row>
    <row r="81" spans="2:13" ht="30" customHeight="1" x14ac:dyDescent="0.25">
      <c r="B81" s="348" t="str">
        <f>Calculations!B64</f>
        <v>Blank Custodians #</v>
      </c>
      <c r="C81" s="348"/>
      <c r="D81" s="321">
        <f ca="1">IF($B81="","",Calculations!G64)</f>
        <v>2</v>
      </c>
      <c r="E81" s="353">
        <f ca="1">IF($B81="","",Calculations!F64)</f>
        <v>386</v>
      </c>
      <c r="F81" s="353"/>
      <c r="G81" s="353"/>
      <c r="H81" s="334">
        <f t="shared" ca="1" si="0"/>
        <v>-384</v>
      </c>
      <c r="I81" s="338"/>
      <c r="J81" s="350"/>
      <c r="K81" s="350"/>
      <c r="L81" s="350"/>
      <c r="M81" s="350"/>
    </row>
    <row r="82" spans="2:13" ht="30" customHeight="1" x14ac:dyDescent="0.25">
      <c r="B82" s="348" t="str">
        <f>Calculations!B65</f>
        <v>Blank Custodians %</v>
      </c>
      <c r="C82" s="348"/>
      <c r="D82" s="315">
        <f ca="1">IF($B82="","",Calculations!G65)</f>
        <v>3.8610038610038611E-3</v>
      </c>
      <c r="E82" s="352">
        <f ca="1">IF($B82="","",Calculations!F65)</f>
        <v>0.78775510204081634</v>
      </c>
      <c r="F82" s="352"/>
      <c r="G82" s="352"/>
      <c r="H82" s="339">
        <f ca="1">IFERROR(D82-E82,"")*100</f>
        <v>-78.389409817981246</v>
      </c>
      <c r="I82" s="338" t="s">
        <v>368</v>
      </c>
      <c r="J82" s="350"/>
      <c r="K82" s="350"/>
      <c r="L82" s="350"/>
      <c r="M82" s="350"/>
    </row>
    <row r="83" spans="2:13" ht="30" hidden="1" customHeight="1" x14ac:dyDescent="0.25">
      <c r="B83" s="348" t="str">
        <f>Calculations!B66</f>
        <v>Unused Metric</v>
      </c>
      <c r="C83" s="348"/>
      <c r="D83" s="321">
        <f ca="1">IF($B83="","",Calculations!G66)</f>
        <v>0</v>
      </c>
      <c r="E83" s="353">
        <f ca="1">IF($B83="","",Calculations!F66)</f>
        <v>0</v>
      </c>
      <c r="F83" s="353"/>
      <c r="G83" s="353"/>
      <c r="H83" s="326">
        <f t="shared" ca="1" si="0"/>
        <v>0</v>
      </c>
      <c r="J83" s="350"/>
      <c r="K83" s="350"/>
      <c r="L83" s="350"/>
      <c r="M83" s="350"/>
    </row>
    <row r="84" spans="2:13" ht="15.75" x14ac:dyDescent="0.25">
      <c r="B84" s="311" t="s">
        <v>47</v>
      </c>
      <c r="C84" s="312"/>
      <c r="D84" s="312"/>
      <c r="E84" s="312"/>
      <c r="F84" s="312"/>
      <c r="G84" s="312"/>
      <c r="H84" s="312"/>
      <c r="J84" s="312"/>
      <c r="K84" s="312"/>
      <c r="L84" s="312"/>
      <c r="M84" s="312"/>
    </row>
    <row r="85" spans="2:13" ht="30" customHeight="1" x14ac:dyDescent="0.25">
      <c r="B85" s="351" t="str">
        <f>Calculations!B67</f>
        <v>Total Assets #</v>
      </c>
      <c r="C85" s="351"/>
      <c r="D85" s="321">
        <f ca="1">IF($B85="","",Calculations!G67)</f>
        <v>128</v>
      </c>
      <c r="E85" s="353">
        <f ca="1">IF($B85="","",Calculations!F67)</f>
        <v>121</v>
      </c>
      <c r="F85" s="353"/>
      <c r="G85" s="353"/>
      <c r="H85" s="334">
        <f t="shared" ca="1" si="0"/>
        <v>7</v>
      </c>
      <c r="I85" s="338"/>
      <c r="J85" s="350"/>
      <c r="K85" s="350"/>
      <c r="L85" s="350"/>
      <c r="M85" s="350"/>
    </row>
    <row r="86" spans="2:13" ht="30" customHeight="1" x14ac:dyDescent="0.25">
      <c r="B86" s="351" t="str">
        <f>Calculations!B68</f>
        <v>% of Total Assets</v>
      </c>
      <c r="C86" s="351"/>
      <c r="D86" s="315">
        <f ca="1">IF($B86="","",Calculations!G68)</f>
        <v>0.24710424710424711</v>
      </c>
      <c r="E86" s="352">
        <f ca="1">IF($B86="","",Calculations!F68)</f>
        <v>0.24693877551020407</v>
      </c>
      <c r="F86" s="352"/>
      <c r="G86" s="352"/>
      <c r="H86" s="339">
        <f ca="1">IFERROR(D86-E86,"")*100</f>
        <v>1.6547159404303735E-2</v>
      </c>
      <c r="I86" s="338" t="s">
        <v>368</v>
      </c>
      <c r="J86" s="350"/>
      <c r="K86" s="350"/>
      <c r="L86" s="350"/>
      <c r="M86" s="350"/>
    </row>
    <row r="87" spans="2:13" ht="30" hidden="1" customHeight="1" x14ac:dyDescent="0.25">
      <c r="B87" s="351" t="str">
        <f>Calculations!B69</f>
        <v>Unused Metric</v>
      </c>
      <c r="C87" s="351"/>
      <c r="D87" s="321">
        <f ca="1">IF($B87="","",Calculations!G69)</f>
        <v>0</v>
      </c>
      <c r="E87" s="353">
        <f ca="1">IF($B87="","",Calculations!F69)</f>
        <v>0</v>
      </c>
      <c r="F87" s="353"/>
      <c r="G87" s="353"/>
      <c r="H87" s="327">
        <f t="shared" ca="1" si="0"/>
        <v>0</v>
      </c>
      <c r="J87" s="350"/>
      <c r="K87" s="350"/>
      <c r="L87" s="350"/>
      <c r="M87" s="350"/>
    </row>
    <row r="88" spans="2:13" ht="30" hidden="1" customHeight="1" x14ac:dyDescent="0.25">
      <c r="B88" s="351" t="str">
        <f>Calculations!B70</f>
        <v>Unused Metric</v>
      </c>
      <c r="C88" s="351"/>
      <c r="D88" s="315">
        <f ca="1">IF($B88="","",Calculations!G70)</f>
        <v>0</v>
      </c>
      <c r="E88" s="352">
        <f ca="1">IF($B88="","",Calculations!F70)</f>
        <v>0</v>
      </c>
      <c r="F88" s="352"/>
      <c r="G88" s="352"/>
      <c r="H88" s="316">
        <f t="shared" ca="1" si="0"/>
        <v>0</v>
      </c>
      <c r="J88" s="350"/>
      <c r="K88" s="350"/>
      <c r="L88" s="350"/>
      <c r="M88" s="350"/>
    </row>
    <row r="89" spans="2:13" ht="30" hidden="1" customHeight="1" x14ac:dyDescent="0.25">
      <c r="B89" s="351" t="str">
        <f>Calculations!B71</f>
        <v>Unused Metric</v>
      </c>
      <c r="C89" s="351"/>
      <c r="D89" s="321">
        <f ca="1">IF($B89="","",Calculations!G71)</f>
        <v>0</v>
      </c>
      <c r="E89" s="353">
        <f ca="1">IF($B89="","",Calculations!F71)</f>
        <v>0</v>
      </c>
      <c r="F89" s="353"/>
      <c r="G89" s="353"/>
      <c r="H89" s="323">
        <f t="shared" ca="1" si="0"/>
        <v>0</v>
      </c>
      <c r="J89" s="350"/>
      <c r="K89" s="350"/>
      <c r="L89" s="350"/>
      <c r="M89" s="350"/>
    </row>
    <row r="90" spans="2:13" ht="30" hidden="1" customHeight="1" x14ac:dyDescent="0.25">
      <c r="B90" s="348" t="str">
        <f>Calculations!B72</f>
        <v>METRIC 49</v>
      </c>
      <c r="C90" s="348"/>
      <c r="D90" s="320">
        <f ca="1">IF($B90="","",Calculations!G72)</f>
        <v>0</v>
      </c>
      <c r="E90" s="349">
        <f ca="1">IF($B90="","",Calculations!F72)</f>
        <v>0</v>
      </c>
      <c r="F90" s="349"/>
      <c r="G90" s="349"/>
      <c r="H90" s="328">
        <f t="shared" ca="1" si="0"/>
        <v>0</v>
      </c>
      <c r="J90" s="350"/>
      <c r="K90" s="350"/>
      <c r="L90" s="350"/>
      <c r="M90" s="350"/>
    </row>
    <row r="91" spans="2:13" ht="30" hidden="1" customHeight="1" x14ac:dyDescent="0.25">
      <c r="B91" s="348" t="str">
        <f>Calculations!B73</f>
        <v>METRIC 50</v>
      </c>
      <c r="C91" s="348"/>
      <c r="D91" s="320">
        <f ca="1">IF($B91="","",Calculations!G73)</f>
        <v>0</v>
      </c>
      <c r="E91" s="349">
        <f ca="1">IF($B91="","",Calculations!F73)</f>
        <v>0</v>
      </c>
      <c r="F91" s="349"/>
      <c r="G91" s="349"/>
      <c r="H91" s="314">
        <f t="shared" ca="1" si="0"/>
        <v>0</v>
      </c>
      <c r="J91" s="350"/>
      <c r="K91" s="350"/>
      <c r="L91" s="350"/>
      <c r="M91" s="350"/>
    </row>
    <row r="92" spans="2:13" ht="11.25" customHeight="1" x14ac:dyDescent="0.25">
      <c r="B92" s="312"/>
      <c r="C92" s="312"/>
      <c r="D92" s="312"/>
      <c r="E92" s="312"/>
      <c r="F92" s="312"/>
      <c r="G92" s="312"/>
      <c r="H92" s="312"/>
      <c r="J92" s="312"/>
      <c r="K92" s="312"/>
      <c r="L92" s="312"/>
      <c r="M92" s="312"/>
    </row>
    <row r="93" spans="2:13" ht="15" customHeight="1" x14ac:dyDescent="0.25">
      <c r="B93" s="341" t="s">
        <v>370</v>
      </c>
      <c r="C93" s="312"/>
      <c r="D93" s="312"/>
      <c r="E93" s="312"/>
      <c r="F93" s="312"/>
      <c r="G93" s="312"/>
      <c r="H93" s="312"/>
      <c r="J93" s="312"/>
      <c r="K93" s="312"/>
      <c r="L93" s="312"/>
      <c r="M93" s="312"/>
    </row>
    <row r="94" spans="2:13" ht="15" hidden="1" customHeight="1" x14ac:dyDescent="0.25">
      <c r="B94" s="342" t="s">
        <v>373</v>
      </c>
      <c r="C94" s="312"/>
      <c r="D94" s="312"/>
      <c r="E94" s="312"/>
      <c r="F94" s="312"/>
      <c r="G94" s="312"/>
      <c r="H94" s="312"/>
      <c r="J94" s="312"/>
      <c r="K94" s="312"/>
      <c r="L94" s="312"/>
      <c r="M94" s="312"/>
    </row>
    <row r="95" spans="2:13" ht="15" hidden="1" customHeight="1" x14ac:dyDescent="0.25">
      <c r="B95" s="342" t="s">
        <v>371</v>
      </c>
      <c r="C95" s="312"/>
      <c r="D95" s="312"/>
      <c r="E95" s="312"/>
      <c r="F95" s="312"/>
      <c r="G95" s="312"/>
      <c r="H95" s="312"/>
      <c r="J95" s="312"/>
      <c r="K95" s="312"/>
      <c r="L95" s="312"/>
      <c r="M95" s="312"/>
    </row>
    <row r="96" spans="2:13" ht="15" customHeight="1" x14ac:dyDescent="0.25">
      <c r="B96" s="342" t="s">
        <v>374</v>
      </c>
      <c r="C96" s="312"/>
      <c r="D96" s="312"/>
      <c r="E96" s="312"/>
      <c r="F96" s="312"/>
      <c r="G96" s="312"/>
      <c r="H96" s="312"/>
      <c r="J96" s="312"/>
      <c r="K96" s="312"/>
      <c r="L96" s="312"/>
      <c r="M96" s="312"/>
    </row>
    <row r="97" spans="2:13" ht="15" customHeight="1" x14ac:dyDescent="0.25">
      <c r="B97" s="342" t="s">
        <v>414</v>
      </c>
      <c r="C97" s="312"/>
      <c r="D97" s="312"/>
      <c r="E97" s="312"/>
      <c r="F97" s="312"/>
      <c r="G97" s="312"/>
      <c r="H97" s="312"/>
      <c r="J97" s="312"/>
      <c r="K97" s="312"/>
      <c r="L97" s="312"/>
      <c r="M97" s="312"/>
    </row>
    <row r="98" spans="2:13" ht="15" customHeight="1" x14ac:dyDescent="0.25">
      <c r="B98" s="342" t="s">
        <v>415</v>
      </c>
      <c r="C98" s="312"/>
      <c r="D98" s="312"/>
      <c r="E98" s="312"/>
      <c r="F98" s="312"/>
      <c r="G98" s="312"/>
      <c r="H98" s="312"/>
      <c r="J98" s="312"/>
      <c r="K98" s="312"/>
      <c r="L98" s="312"/>
      <c r="M98" s="312"/>
    </row>
    <row r="99" spans="2:13" ht="15" customHeight="1" x14ac:dyDescent="0.25">
      <c r="B99" s="342" t="s">
        <v>372</v>
      </c>
      <c r="C99" s="312"/>
      <c r="D99" s="312"/>
      <c r="E99" s="312"/>
      <c r="F99" s="312"/>
      <c r="G99" s="312"/>
      <c r="H99" s="312"/>
      <c r="J99" s="312"/>
      <c r="K99" s="312"/>
      <c r="L99" s="312"/>
      <c r="M99" s="312"/>
    </row>
    <row r="100" spans="2:13" ht="15" customHeight="1" x14ac:dyDescent="0.25">
      <c r="B100" s="342"/>
      <c r="C100" s="312"/>
      <c r="D100" s="312"/>
      <c r="E100" s="312"/>
      <c r="F100" s="312"/>
      <c r="G100" s="312"/>
      <c r="H100" s="312"/>
      <c r="J100" s="312"/>
      <c r="K100" s="312"/>
      <c r="L100" s="312"/>
      <c r="M100" s="312"/>
    </row>
    <row r="101" spans="2:13" ht="15" customHeight="1" x14ac:dyDescent="0.25">
      <c r="B101" s="342"/>
      <c r="C101" s="312"/>
      <c r="D101" s="312"/>
      <c r="E101" s="312"/>
      <c r="F101" s="312"/>
      <c r="G101" s="312"/>
      <c r="H101" s="312"/>
      <c r="J101" s="312"/>
      <c r="K101" s="312"/>
      <c r="L101" s="312"/>
      <c r="M101" s="312"/>
    </row>
    <row r="102" spans="2:13" ht="15" customHeight="1" x14ac:dyDescent="0.25">
      <c r="B102" s="342"/>
      <c r="C102" s="312"/>
      <c r="D102" s="312"/>
      <c r="E102" s="312"/>
      <c r="F102" s="312"/>
      <c r="G102" s="312"/>
      <c r="H102" s="312"/>
      <c r="J102" s="312"/>
      <c r="K102" s="312"/>
      <c r="L102" s="312"/>
      <c r="M102" s="312"/>
    </row>
    <row r="103" spans="2:13" ht="15" customHeight="1" x14ac:dyDescent="0.25">
      <c r="B103" s="342"/>
      <c r="C103" s="312"/>
      <c r="D103" s="312"/>
      <c r="E103" s="312"/>
      <c r="F103" s="312"/>
      <c r="G103" s="312"/>
      <c r="H103" s="312"/>
      <c r="J103" s="312"/>
      <c r="K103" s="312"/>
      <c r="L103" s="312"/>
      <c r="M103" s="312"/>
    </row>
    <row r="104" spans="2:13" ht="15" customHeight="1" x14ac:dyDescent="0.25">
      <c r="B104" s="342"/>
      <c r="C104" s="312"/>
      <c r="D104" s="312"/>
      <c r="E104" s="312"/>
      <c r="F104" s="312"/>
      <c r="G104" s="312"/>
      <c r="H104" s="312"/>
      <c r="J104" s="312"/>
      <c r="K104" s="312"/>
      <c r="L104" s="312"/>
      <c r="M104" s="312"/>
    </row>
    <row r="105" spans="2:13" ht="15" customHeight="1" x14ac:dyDescent="0.25">
      <c r="B105" s="342"/>
      <c r="C105" s="312"/>
      <c r="D105" s="312"/>
      <c r="E105" s="312"/>
      <c r="F105" s="312"/>
      <c r="G105" s="312"/>
      <c r="H105" s="312"/>
      <c r="J105" s="312"/>
      <c r="K105" s="312"/>
      <c r="L105" s="312"/>
      <c r="M105" s="312"/>
    </row>
    <row r="106" spans="2:13" ht="15" customHeight="1" x14ac:dyDescent="0.25">
      <c r="B106" s="342"/>
      <c r="C106" s="312"/>
      <c r="D106" s="312"/>
      <c r="E106" s="312"/>
      <c r="F106" s="312"/>
      <c r="G106" s="312"/>
      <c r="H106" s="312"/>
      <c r="J106" s="312"/>
      <c r="K106" s="312"/>
      <c r="L106" s="312"/>
      <c r="M106" s="312"/>
    </row>
    <row r="107" spans="2:13" ht="15" customHeight="1" x14ac:dyDescent="0.25">
      <c r="B107" s="342"/>
      <c r="C107" s="312"/>
      <c r="D107" s="312"/>
      <c r="E107" s="312"/>
      <c r="F107" s="312"/>
      <c r="G107" s="312"/>
      <c r="H107" s="312"/>
      <c r="J107" s="312"/>
      <c r="K107" s="312"/>
      <c r="L107" s="312"/>
      <c r="M107" s="312"/>
    </row>
    <row r="108" spans="2:13" ht="15" customHeight="1" x14ac:dyDescent="0.25">
      <c r="B108" s="342"/>
      <c r="C108" s="312"/>
      <c r="D108" s="312"/>
      <c r="E108" s="312"/>
      <c r="F108" s="312"/>
      <c r="G108" s="312"/>
      <c r="H108" s="312"/>
      <c r="J108" s="312"/>
      <c r="K108" s="312"/>
      <c r="L108" s="312"/>
      <c r="M108" s="312"/>
    </row>
    <row r="109" spans="2:13" ht="15" customHeight="1" x14ac:dyDescent="0.25">
      <c r="B109" s="340"/>
      <c r="C109" s="312"/>
      <c r="D109" s="312"/>
      <c r="E109" s="312"/>
      <c r="F109" s="312"/>
      <c r="G109" s="312"/>
      <c r="H109" s="312"/>
      <c r="J109" s="312"/>
      <c r="K109" s="312"/>
      <c r="L109" s="312"/>
      <c r="M109" s="312"/>
    </row>
    <row r="110" spans="2:13" ht="15" customHeight="1" x14ac:dyDescent="0.25">
      <c r="B110" s="340"/>
      <c r="C110" s="312"/>
      <c r="D110" s="312"/>
      <c r="E110" s="312"/>
      <c r="F110" s="312"/>
      <c r="G110" s="312"/>
      <c r="H110" s="312"/>
      <c r="J110" s="312"/>
      <c r="K110" s="312"/>
      <c r="L110" s="312"/>
      <c r="M110" s="312"/>
    </row>
    <row r="111" spans="2:13" ht="15" customHeight="1" x14ac:dyDescent="0.25">
      <c r="B111" s="340"/>
      <c r="C111" s="312"/>
      <c r="D111" s="312"/>
      <c r="E111" s="312"/>
      <c r="F111" s="312"/>
      <c r="G111" s="312"/>
      <c r="H111" s="312"/>
      <c r="J111" s="312"/>
      <c r="K111" s="312"/>
      <c r="L111" s="312"/>
      <c r="M111" s="312"/>
    </row>
    <row r="112" spans="2:13" ht="15" customHeight="1" x14ac:dyDescent="0.25">
      <c r="B112" s="340"/>
      <c r="C112" s="312"/>
      <c r="D112" s="312"/>
      <c r="E112" s="312"/>
      <c r="F112" s="312"/>
      <c r="G112" s="312"/>
      <c r="H112" s="312"/>
      <c r="J112" s="312"/>
      <c r="K112" s="312"/>
      <c r="L112" s="312"/>
      <c r="M112" s="312"/>
    </row>
    <row r="113" spans="2:13" ht="15" customHeight="1" x14ac:dyDescent="0.25">
      <c r="B113" s="340"/>
      <c r="C113" s="312"/>
      <c r="D113" s="312"/>
      <c r="E113" s="312"/>
      <c r="F113" s="312"/>
      <c r="G113" s="312"/>
      <c r="H113" s="312"/>
      <c r="J113" s="312"/>
      <c r="K113" s="312"/>
      <c r="L113" s="312"/>
      <c r="M113" s="312"/>
    </row>
    <row r="114" spans="2:13" ht="15" customHeight="1" x14ac:dyDescent="0.25">
      <c r="B114" s="340"/>
      <c r="C114" s="312"/>
      <c r="D114" s="312"/>
      <c r="E114" s="312"/>
      <c r="F114" s="312"/>
      <c r="G114" s="312"/>
      <c r="H114" s="312"/>
      <c r="J114" s="312"/>
      <c r="K114" s="312"/>
      <c r="L114" s="312"/>
      <c r="M114" s="312"/>
    </row>
    <row r="115" spans="2:13" ht="15" customHeight="1" x14ac:dyDescent="0.25">
      <c r="B115" s="340"/>
      <c r="C115" s="312"/>
      <c r="D115" s="312"/>
      <c r="E115" s="312"/>
      <c r="F115" s="312"/>
      <c r="G115" s="312"/>
      <c r="H115" s="312"/>
      <c r="J115" s="312"/>
      <c r="K115" s="312"/>
      <c r="L115" s="312"/>
      <c r="M115" s="312"/>
    </row>
    <row r="116" spans="2:13" ht="15" customHeight="1" x14ac:dyDescent="0.25">
      <c r="B116" s="340"/>
      <c r="C116" s="312"/>
      <c r="D116" s="312"/>
      <c r="E116" s="312"/>
      <c r="F116" s="312"/>
      <c r="G116" s="312"/>
      <c r="H116" s="312"/>
      <c r="J116" s="312"/>
      <c r="K116" s="312"/>
      <c r="L116" s="312"/>
      <c r="M116" s="312"/>
    </row>
    <row r="117" spans="2:13" ht="15" customHeight="1" x14ac:dyDescent="0.25">
      <c r="B117" s="340"/>
      <c r="C117" s="312"/>
      <c r="D117" s="312"/>
      <c r="E117" s="312"/>
      <c r="F117" s="312"/>
      <c r="G117" s="312"/>
      <c r="H117" s="312"/>
      <c r="J117" s="312"/>
      <c r="K117" s="312"/>
      <c r="L117" s="312"/>
      <c r="M117" s="312"/>
    </row>
  </sheetData>
  <sheetProtection selectLockedCells="1"/>
  <dataConsolidate/>
  <mergeCells count="205">
    <mergeCell ref="K11:M11"/>
    <mergeCell ref="L2:M2"/>
    <mergeCell ref="B3:M4"/>
    <mergeCell ref="B5:C5"/>
    <mergeCell ref="D5:M5"/>
    <mergeCell ref="K6:M6"/>
    <mergeCell ref="K7:M7"/>
    <mergeCell ref="K8:M8"/>
    <mergeCell ref="K9:M9"/>
    <mergeCell ref="K10:M10"/>
    <mergeCell ref="J2:K2"/>
    <mergeCell ref="H7:I7"/>
    <mergeCell ref="H8:I8"/>
    <mergeCell ref="H9:I9"/>
    <mergeCell ref="H10:I10"/>
    <mergeCell ref="H11:I11"/>
    <mergeCell ref="B14:M14"/>
    <mergeCell ref="B15:C15"/>
    <mergeCell ref="E15:G15"/>
    <mergeCell ref="J15:M15"/>
    <mergeCell ref="B54:C54"/>
    <mergeCell ref="E54:G54"/>
    <mergeCell ref="J54:M54"/>
    <mergeCell ref="B13:C13"/>
    <mergeCell ref="D13:M13"/>
    <mergeCell ref="B16:M16"/>
    <mergeCell ref="B33:M33"/>
    <mergeCell ref="B52:M52"/>
    <mergeCell ref="B19:C19"/>
    <mergeCell ref="E19:G19"/>
    <mergeCell ref="J19:M19"/>
    <mergeCell ref="B21:C21"/>
    <mergeCell ref="E21:G21"/>
    <mergeCell ref="J21:M21"/>
    <mergeCell ref="B27:C27"/>
    <mergeCell ref="E27:G27"/>
    <mergeCell ref="J27:M27"/>
    <mergeCell ref="B26:C26"/>
    <mergeCell ref="E26:G26"/>
    <mergeCell ref="J26:M26"/>
    <mergeCell ref="B57:C57"/>
    <mergeCell ref="E57:G57"/>
    <mergeCell ref="J57:M57"/>
    <mergeCell ref="B58:C58"/>
    <mergeCell ref="E58:G58"/>
    <mergeCell ref="J58:M58"/>
    <mergeCell ref="B55:C55"/>
    <mergeCell ref="E55:G55"/>
    <mergeCell ref="J55:M55"/>
    <mergeCell ref="B56:C56"/>
    <mergeCell ref="E56:G56"/>
    <mergeCell ref="J56:M56"/>
    <mergeCell ref="B59:C59"/>
    <mergeCell ref="E59:G59"/>
    <mergeCell ref="J59:M59"/>
    <mergeCell ref="B18:C18"/>
    <mergeCell ref="E18:G18"/>
    <mergeCell ref="J18:M18"/>
    <mergeCell ref="B24:C24"/>
    <mergeCell ref="E24:G24"/>
    <mergeCell ref="J24:M24"/>
    <mergeCell ref="B25:C25"/>
    <mergeCell ref="E25:G25"/>
    <mergeCell ref="J25:M25"/>
    <mergeCell ref="B20:C20"/>
    <mergeCell ref="E20:G20"/>
    <mergeCell ref="J20:M20"/>
    <mergeCell ref="B22:C22"/>
    <mergeCell ref="E22:G22"/>
    <mergeCell ref="J22:M22"/>
    <mergeCell ref="B28:C28"/>
    <mergeCell ref="E28:G28"/>
    <mergeCell ref="J28:M28"/>
    <mergeCell ref="B30:C30"/>
    <mergeCell ref="E30:G30"/>
    <mergeCell ref="J30:M30"/>
    <mergeCell ref="B35:C35"/>
    <mergeCell ref="E35:G35"/>
    <mergeCell ref="J35:M35"/>
    <mergeCell ref="B36:C36"/>
    <mergeCell ref="E36:G36"/>
    <mergeCell ref="J36:M36"/>
    <mergeCell ref="B31:C31"/>
    <mergeCell ref="E31:G31"/>
    <mergeCell ref="J31:M31"/>
    <mergeCell ref="B32:C32"/>
    <mergeCell ref="E32:G32"/>
    <mergeCell ref="J32:M32"/>
    <mergeCell ref="B43:C43"/>
    <mergeCell ref="E43:G43"/>
    <mergeCell ref="J43:M43"/>
    <mergeCell ref="B44:C44"/>
    <mergeCell ref="B37:C37"/>
    <mergeCell ref="E37:G37"/>
    <mergeCell ref="J37:M37"/>
    <mergeCell ref="B38:C38"/>
    <mergeCell ref="E38:G38"/>
    <mergeCell ref="J38:M38"/>
    <mergeCell ref="B39:C39"/>
    <mergeCell ref="E39:G39"/>
    <mergeCell ref="J39:M39"/>
    <mergeCell ref="B40:C40"/>
    <mergeCell ref="E40:G40"/>
    <mergeCell ref="J40:M40"/>
    <mergeCell ref="B42:C42"/>
    <mergeCell ref="E42:G42"/>
    <mergeCell ref="J42:M42"/>
    <mergeCell ref="B46:C46"/>
    <mergeCell ref="E46:G46"/>
    <mergeCell ref="J46:M46"/>
    <mergeCell ref="B47:C47"/>
    <mergeCell ref="E47:G47"/>
    <mergeCell ref="J47:M47"/>
    <mergeCell ref="E44:G44"/>
    <mergeCell ref="J44:M44"/>
    <mergeCell ref="B45:C45"/>
    <mergeCell ref="E45:G45"/>
    <mergeCell ref="J45:M45"/>
    <mergeCell ref="B50:C50"/>
    <mergeCell ref="E50:G50"/>
    <mergeCell ref="J50:M50"/>
    <mergeCell ref="B51:C51"/>
    <mergeCell ref="E51:G51"/>
    <mergeCell ref="J51:M51"/>
    <mergeCell ref="B48:C48"/>
    <mergeCell ref="E48:G48"/>
    <mergeCell ref="J48:M48"/>
    <mergeCell ref="B49:C49"/>
    <mergeCell ref="E49:G49"/>
    <mergeCell ref="J49:M49"/>
    <mergeCell ref="B63:C63"/>
    <mergeCell ref="E63:G63"/>
    <mergeCell ref="J63:M63"/>
    <mergeCell ref="B66:C66"/>
    <mergeCell ref="E66:G66"/>
    <mergeCell ref="J66:M66"/>
    <mergeCell ref="B61:C61"/>
    <mergeCell ref="E61:G61"/>
    <mergeCell ref="J61:M61"/>
    <mergeCell ref="B62:C62"/>
    <mergeCell ref="E62:G62"/>
    <mergeCell ref="J62:M62"/>
    <mergeCell ref="B64:M64"/>
    <mergeCell ref="B71:C71"/>
    <mergeCell ref="E71:G71"/>
    <mergeCell ref="J71:M71"/>
    <mergeCell ref="B72:C72"/>
    <mergeCell ref="E72:G72"/>
    <mergeCell ref="J72:M72"/>
    <mergeCell ref="B67:C67"/>
    <mergeCell ref="E67:G67"/>
    <mergeCell ref="J67:M67"/>
    <mergeCell ref="B68:C68"/>
    <mergeCell ref="E68:G68"/>
    <mergeCell ref="J68:M68"/>
    <mergeCell ref="B69:M69"/>
    <mergeCell ref="B75:C75"/>
    <mergeCell ref="E75:G75"/>
    <mergeCell ref="J75:M75"/>
    <mergeCell ref="B76:C76"/>
    <mergeCell ref="E76:G76"/>
    <mergeCell ref="J76:M76"/>
    <mergeCell ref="B73:C73"/>
    <mergeCell ref="E73:G73"/>
    <mergeCell ref="J73:M73"/>
    <mergeCell ref="B74:C74"/>
    <mergeCell ref="E74:G74"/>
    <mergeCell ref="J74:M74"/>
    <mergeCell ref="B81:C81"/>
    <mergeCell ref="E81:G81"/>
    <mergeCell ref="J81:M81"/>
    <mergeCell ref="B82:C82"/>
    <mergeCell ref="E82:G82"/>
    <mergeCell ref="J82:M82"/>
    <mergeCell ref="B77:C77"/>
    <mergeCell ref="E77:G77"/>
    <mergeCell ref="J77:M77"/>
    <mergeCell ref="B80:C80"/>
    <mergeCell ref="E80:G80"/>
    <mergeCell ref="J80:M80"/>
    <mergeCell ref="B78:M78"/>
    <mergeCell ref="B86:C86"/>
    <mergeCell ref="E86:G86"/>
    <mergeCell ref="J86:M86"/>
    <mergeCell ref="B87:C87"/>
    <mergeCell ref="E87:G87"/>
    <mergeCell ref="J87:M87"/>
    <mergeCell ref="B83:C83"/>
    <mergeCell ref="E83:G83"/>
    <mergeCell ref="J83:M83"/>
    <mergeCell ref="B85:C85"/>
    <mergeCell ref="E85:G85"/>
    <mergeCell ref="J85:M85"/>
    <mergeCell ref="B90:C90"/>
    <mergeCell ref="E90:G90"/>
    <mergeCell ref="J90:M90"/>
    <mergeCell ref="B91:C91"/>
    <mergeCell ref="E91:G91"/>
    <mergeCell ref="J91:M91"/>
    <mergeCell ref="B88:C88"/>
    <mergeCell ref="E88:G88"/>
    <mergeCell ref="J88:M88"/>
    <mergeCell ref="B89:C89"/>
    <mergeCell ref="E89:G89"/>
    <mergeCell ref="J89:M89"/>
  </mergeCells>
  <conditionalFormatting sqref="H35">
    <cfRule type="iconSet" priority="194">
      <iconSet iconSet="3Arrows">
        <cfvo type="percent" val="0"/>
        <cfvo type="num" val="0"/>
        <cfvo type="num" val="0" gte="0"/>
      </iconSet>
    </cfRule>
  </conditionalFormatting>
  <conditionalFormatting sqref="H42:H43">
    <cfRule type="iconSet" priority="185">
      <iconSet iconSet="3Arrows">
        <cfvo type="percent" val="0"/>
        <cfvo type="num" val="0"/>
        <cfvo type="num" val="0" gte="0"/>
      </iconSet>
    </cfRule>
  </conditionalFormatting>
  <conditionalFormatting sqref="H47">
    <cfRule type="iconSet" priority="162">
      <iconSet iconSet="3Arrows">
        <cfvo type="percent" val="0"/>
        <cfvo type="num" val="0"/>
        <cfvo type="num" val="0" gte="0"/>
      </iconSet>
    </cfRule>
  </conditionalFormatting>
  <conditionalFormatting sqref="H49">
    <cfRule type="iconSet" priority="159">
      <iconSet iconSet="3Arrows">
        <cfvo type="percent" val="0"/>
        <cfvo type="num" val="0"/>
        <cfvo type="num" val="0" gte="0"/>
      </iconSet>
    </cfRule>
  </conditionalFormatting>
  <conditionalFormatting sqref="H50">
    <cfRule type="iconSet" priority="156">
      <iconSet iconSet="3Arrows">
        <cfvo type="percent" val="0"/>
        <cfvo type="num" val="0"/>
        <cfvo type="num" val="0" gte="0"/>
      </iconSet>
    </cfRule>
  </conditionalFormatting>
  <conditionalFormatting sqref="H45">
    <cfRule type="iconSet" priority="150">
      <iconSet iconSet="3Arrows">
        <cfvo type="percent" val="0"/>
        <cfvo type="num" val="0"/>
        <cfvo type="num" val="0" gte="0"/>
      </iconSet>
    </cfRule>
  </conditionalFormatting>
  <conditionalFormatting sqref="H83">
    <cfRule type="iconSet" priority="127">
      <iconSet iconSet="3Arrows">
        <cfvo type="percent" val="0"/>
        <cfvo type="num" val="0"/>
        <cfvo type="num" val="0" gte="0"/>
      </iconSet>
    </cfRule>
  </conditionalFormatting>
  <conditionalFormatting sqref="H87">
    <cfRule type="iconSet" priority="114">
      <iconSet iconSet="3Arrows">
        <cfvo type="percent" val="0"/>
        <cfvo type="num" val="0"/>
        <cfvo type="num" val="0" gte="0"/>
      </iconSet>
    </cfRule>
  </conditionalFormatting>
  <conditionalFormatting sqref="H88">
    <cfRule type="iconSet" priority="107">
      <iconSet iconSet="3Arrows">
        <cfvo type="percent" val="0"/>
        <cfvo type="num" val="0"/>
        <cfvo type="num" val="0" gte="0"/>
      </iconSet>
    </cfRule>
  </conditionalFormatting>
  <conditionalFormatting sqref="H89">
    <cfRule type="iconSet" priority="103">
      <iconSet iconSet="3Arrows">
        <cfvo type="percent" val="0"/>
        <cfvo type="num" val="0"/>
        <cfvo type="num" val="0" gte="0"/>
      </iconSet>
    </cfRule>
  </conditionalFormatting>
  <conditionalFormatting sqref="H54">
    <cfRule type="iconSet" priority="93">
      <iconSet iconSet="3Arrows">
        <cfvo type="percent" val="0"/>
        <cfvo type="num" val="0"/>
        <cfvo type="num" val="0" gte="0"/>
      </iconSet>
    </cfRule>
  </conditionalFormatting>
  <conditionalFormatting sqref="H76">
    <cfRule type="iconSet" priority="83">
      <iconSet iconSet="3Arrows">
        <cfvo type="percent" val="0"/>
        <cfvo type="num" val="0"/>
        <cfvo type="num" val="0" gte="0"/>
      </iconSet>
    </cfRule>
  </conditionalFormatting>
  <conditionalFormatting sqref="H32">
    <cfRule type="iconSet" priority="62">
      <iconSet iconSet="3Arrows">
        <cfvo type="percent" val="0"/>
        <cfvo type="num" val="0"/>
        <cfvo type="num" val="0" gte="0"/>
      </iconSet>
    </cfRule>
  </conditionalFormatting>
  <conditionalFormatting sqref="H36">
    <cfRule type="iconSet" priority="46">
      <iconSet iconSet="3Arrows">
        <cfvo type="percent" val="0"/>
        <cfvo type="num" val="0"/>
        <cfvo type="num" val="0" gte="0"/>
      </iconSet>
    </cfRule>
  </conditionalFormatting>
  <conditionalFormatting sqref="H38:H39">
    <cfRule type="iconSet" priority="42">
      <iconSet iconSet="3Arrows">
        <cfvo type="percent" val="0"/>
        <cfvo type="num" val="0"/>
        <cfvo type="num" val="0" gte="0"/>
      </iconSet>
    </cfRule>
  </conditionalFormatting>
  <conditionalFormatting sqref="H61">
    <cfRule type="iconSet" priority="40">
      <iconSet iconSet="3Arrows">
        <cfvo type="percent" val="0"/>
        <cfvo type="num" val="0"/>
        <cfvo type="num" val="0" gte="0"/>
      </iconSet>
    </cfRule>
  </conditionalFormatting>
  <conditionalFormatting sqref="H62">
    <cfRule type="iconSet" priority="38">
      <iconSet iconSet="3Arrows">
        <cfvo type="percent" val="0"/>
        <cfvo type="num" val="0"/>
        <cfvo type="num" val="0" gte="0"/>
      </iconSet>
    </cfRule>
  </conditionalFormatting>
  <conditionalFormatting sqref="H67">
    <cfRule type="iconSet" priority="32">
      <iconSet iconSet="3Arrows">
        <cfvo type="percent" val="0"/>
        <cfvo type="num" val="0"/>
        <cfvo type="num" val="0" gte="0"/>
      </iconSet>
    </cfRule>
  </conditionalFormatting>
  <conditionalFormatting sqref="H80">
    <cfRule type="iconSet" priority="30">
      <iconSet iconSet="3Arrows">
        <cfvo type="percent" val="0"/>
        <cfvo type="num" val="0"/>
        <cfvo type="num" val="0" gte="0"/>
      </iconSet>
    </cfRule>
  </conditionalFormatting>
  <conditionalFormatting sqref="H81">
    <cfRule type="iconSet" priority="28">
      <iconSet iconSet="3Arrows">
        <cfvo type="percent" val="0"/>
        <cfvo type="num" val="0"/>
        <cfvo type="num" val="0" gte="0"/>
      </iconSet>
    </cfRule>
  </conditionalFormatting>
  <conditionalFormatting sqref="H82">
    <cfRule type="iconSet" priority="26">
      <iconSet iconSet="3Arrows">
        <cfvo type="percent" val="0"/>
        <cfvo type="num" val="0"/>
        <cfvo type="num" val="0" gte="0"/>
      </iconSet>
    </cfRule>
  </conditionalFormatting>
  <conditionalFormatting sqref="H85">
    <cfRule type="iconSet" priority="24">
      <iconSet iconSet="3Arrows">
        <cfvo type="percent" val="0"/>
        <cfvo type="num" val="0"/>
        <cfvo type="num" val="0" gte="0"/>
      </iconSet>
    </cfRule>
  </conditionalFormatting>
  <conditionalFormatting sqref="H86">
    <cfRule type="iconSet" priority="22">
      <iconSet iconSet="3Arrows">
        <cfvo type="percent" val="0"/>
        <cfvo type="num" val="0"/>
        <cfvo type="num" val="0" gte="0"/>
      </iconSet>
    </cfRule>
  </conditionalFormatting>
  <conditionalFormatting sqref="H73">
    <cfRule type="iconSet" priority="20">
      <iconSet iconSet="3Arrows">
        <cfvo type="percent" val="0"/>
        <cfvo type="num" val="0"/>
        <cfvo type="num" val="0" gte="0"/>
      </iconSet>
    </cfRule>
  </conditionalFormatting>
  <conditionalFormatting sqref="H75">
    <cfRule type="iconSet" priority="18">
      <iconSet iconSet="3Arrows">
        <cfvo type="percent" val="0"/>
        <cfvo type="num" val="0"/>
        <cfvo type="num" val="0" gte="0"/>
      </iconSet>
    </cfRule>
  </conditionalFormatting>
  <conditionalFormatting sqref="H26">
    <cfRule type="iconSet" priority="16">
      <iconSet iconSet="3Arrows">
        <cfvo type="percent" val="0"/>
        <cfvo type="num" val="0"/>
        <cfvo type="num" val="0" gte="0"/>
      </iconSet>
    </cfRule>
  </conditionalFormatting>
  <conditionalFormatting sqref="H28">
    <cfRule type="iconSet" priority="14">
      <iconSet iconSet="3Arrows">
        <cfvo type="percent" val="0"/>
        <cfvo type="num" val="0"/>
        <cfvo type="num" val="0" gte="0"/>
      </iconSet>
    </cfRule>
  </conditionalFormatting>
  <conditionalFormatting sqref="H40">
    <cfRule type="iconSet" priority="12">
      <iconSet iconSet="3Arrows">
        <cfvo type="percent" val="0"/>
        <cfvo type="num" val="0"/>
        <cfvo type="num" val="0" gte="0"/>
      </iconSet>
    </cfRule>
  </conditionalFormatting>
  <conditionalFormatting sqref="H44">
    <cfRule type="iconSet" priority="10">
      <iconSet iconSet="3Arrows">
        <cfvo type="percent" val="0"/>
        <cfvo type="num" val="0"/>
        <cfvo type="num" val="0" gte="0"/>
      </iconSet>
    </cfRule>
  </conditionalFormatting>
  <conditionalFormatting sqref="H51">
    <cfRule type="iconSet" priority="8">
      <iconSet iconSet="3Arrows">
        <cfvo type="percent" val="0"/>
        <cfvo type="num" val="0"/>
        <cfvo type="num" val="0" gte="0"/>
      </iconSet>
    </cfRule>
  </conditionalFormatting>
  <conditionalFormatting sqref="H57">
    <cfRule type="iconSet" priority="6">
      <iconSet iconSet="3Arrows">
        <cfvo type="percent" val="0"/>
        <cfvo type="num" val="0"/>
        <cfvo type="num" val="0" gte="0"/>
      </iconSet>
    </cfRule>
  </conditionalFormatting>
  <conditionalFormatting sqref="H59">
    <cfRule type="iconSet" priority="4">
      <iconSet iconSet="3Arrows">
        <cfvo type="percent" val="0"/>
        <cfvo type="num" val="0"/>
        <cfvo type="num" val="0" gte="0"/>
      </iconSet>
    </cfRule>
  </conditionalFormatting>
  <conditionalFormatting sqref="H63">
    <cfRule type="iconSet" priority="2">
      <iconSet iconSet="3Arrows">
        <cfvo type="percent" val="0"/>
        <cfvo type="num" val="0"/>
        <cfvo type="num" val="0" gte="0"/>
      </iconSet>
    </cfRule>
  </conditionalFormatting>
  <dataValidations xWindow="144" yWindow="476" count="19">
    <dataValidation allowBlank="1" showInputMessage="1" showErrorMessage="1" prompt="Navigation link to Financial Data Input worksheet" sqref="D13:H13 J13:M13"/>
    <dataValidation allowBlank="1" showErrorMessage="1" prompt="5 Year Trend line is automatically updated in this column under this heading" sqref="J17:M17 J53:M53 J23:M23 J29:M29 J15:M15 J34:M34 J41:M41 J60:M60 J65:M65 J70:M70 J79:M79 J84:M84"/>
    <dataValidation allowBlank="1" showErrorMessage="1" prompt="Percent Change and icon are automatically updated in this column under this heading" sqref="H53 H23 H29 H15 H34 H41 H60 H65 H70 H79 H84 H17"/>
    <dataValidation allowBlank="1" showErrorMessage="1" prompt="Previous Year figures are automatically updated in this column under this heading" sqref="E17 E53 E23 E29 E15 E34 E41 E60 E65 E70 E79 E84"/>
    <dataValidation allowBlank="1" showErrorMessage="1" prompt="Report Year figures are automatically updated in this column under this heading" sqref="D17 D53 D23 D29 D15 D34 D41 D60 D65 D70 D79 D84"/>
    <dataValidation allowBlank="1" showErrorMessage="1" prompt="Metrics are automatically updated in this column under this heading" sqref="B15:B17 B52:B53 B23 B29 B33:B34 B41 B60 B64:B65 B69:B70 B78:B79 B84"/>
    <dataValidation allowBlank="1" showErrorMessage="1" prompt="All Metrics data will automatically be updated in table starting in cell B15" sqref="B13:C13"/>
    <dataValidation allowBlank="1" showErrorMessage="1" prompt="Operating Profit is automatically updated in this cell and growth percent in cell below" sqref="K8:M8"/>
    <dataValidation allowBlank="1" showErrorMessage="1" prompt="Depreciation amount is automatically updated in this cell and growth percent in cell below" sqref="H8"/>
    <dataValidation allowBlank="1" showErrorMessage="1" prompt="Interest is automatically updated in this cell and growth percent in cell below" sqref="F8"/>
    <dataValidation allowBlank="1" showErrorMessage="1" prompt="Net Profit is automatically updated in this cell and growth percent in cell below" sqref="D8"/>
    <dataValidation allowBlank="1" showErrorMessage="1" prompt="Growth percent is automatically updated in this cell and sparkline in cell below" sqref="B9 D9 F9 K9:M9 H9"/>
    <dataValidation allowBlank="1" showErrorMessage="1" prompt="Total Revenue is automatically updated in this cell and growth percent in cell below" sqref="B8"/>
    <dataValidation allowBlank="1" showInputMessage="1" showErrorMessage="1" prompt="Navigation link to Key Metric Settings worksheet" sqref="D5:H5 J5:N5"/>
    <dataValidation allowBlank="1" showErrorMessage="1" prompt="Select cell at right to navigate to Key Metric Settings worksheet" sqref="B5:C5"/>
    <dataValidation allowBlank="1" showErrorMessage="1" prompt="Enter Company Name in this cell" sqref="B3:H4 J3:M4"/>
    <dataValidation allowBlank="1" showErrorMessage="1" prompt="Create Annual Financial Report in this workbook. Select year in cell K2 in this worksheet, D5 to navigate to Key Metric worksheet and D13 to navigate to Financial Data worksheet" sqref="A1"/>
    <dataValidation type="list" errorStyle="warning" allowBlank="1" showInputMessage="1" showErrorMessage="1" error="Select Year from the list. Select CANCEL, press ALT+DOWN ARROW for options, then DOWN ARROW and ENTER to make selection" prompt="Select Year in this cell. Use down arrow and click on year to make selection. " sqref="L2:M2">
      <formula1>lstYears</formula1>
    </dataValidation>
    <dataValidation allowBlank="1" showErrorMessage="1" prompt="Title of this worksheet is in this cell. Enter Company Name in cell below and select report year in cell at right. Tip is in cell N2 and N3" sqref="B2 C1:H1 J1:K1"/>
  </dataValidations>
  <printOptions horizontalCentered="1"/>
  <pageMargins left="0.25" right="0.25" top="0.25" bottom="0.25" header="0.3" footer="0.05"/>
  <pageSetup paperSize="5" scale="62" fitToHeight="0" orientation="portrait" r:id="rId1"/>
  <extLst>
    <ext xmlns:x14="http://schemas.microsoft.com/office/spreadsheetml/2009/9/main" uri="{78C0D931-6437-407d-A8EE-F0AAD7539E65}">
      <x14:conditionalFormattings>
        <x14:conditionalFormatting xmlns:xm="http://schemas.microsoft.com/office/excel/2006/main">
          <x14:cfRule type="iconSet" priority="280" id="{3FD865B3-78DB-4295-8420-F23AE73E79E8}">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H56 H30 H46 H48 H74 H77 H90:H91 H24:H25 H27 H71:H72 H20 H22 H18 H58</xm:sqref>
        </x14:conditionalFormatting>
        <x14:conditionalFormatting xmlns:xm="http://schemas.microsoft.com/office/excel/2006/main">
          <x14:cfRule type="iconSet" priority="278" id="{8C62CF3C-0E57-4E34-A17C-821F111E09B3}">
            <x14:iconSet iconSet="3Arrows" custom="1">
              <x14:cfvo type="percent">
                <xm:f>0</xm:f>
              </x14:cfvo>
              <x14:cfvo type="num">
                <xm:f>0</xm:f>
              </x14:cfvo>
              <x14:cfvo type="num" gte="0">
                <xm:f>0</xm:f>
              </x14:cfvo>
              <x14:cfIcon iconSet="3ArrowsGray" iconId="0"/>
              <x14:cfIcon iconSet="3ArrowsGray" iconId="1"/>
              <x14:cfIcon iconSet="3ArrowsGray" iconId="2"/>
            </x14:iconSet>
          </x14:cfRule>
          <xm:sqref>K9 D9 H9 F9 B9</xm:sqref>
        </x14:conditionalFormatting>
        <x14:conditionalFormatting xmlns:xm="http://schemas.microsoft.com/office/excel/2006/main">
          <x14:cfRule type="iconSet" priority="279" id="{7985D6FD-1DCD-4FE1-86E2-34A1946E36FD}">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H55:H56 H30 H46 H48 H74 H77 H90:H91 H24:H25 H27 H71:H72 H20 H22 H18 H58</xm:sqref>
        </x14:conditionalFormatting>
        <x14:conditionalFormatting xmlns:xm="http://schemas.microsoft.com/office/excel/2006/main">
          <x14:cfRule type="iconSet" priority="193" id="{0D45E1A6-F4FC-4EC5-B781-FAE327350159}">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H35</xm:sqref>
        </x14:conditionalFormatting>
        <x14:conditionalFormatting xmlns:xm="http://schemas.microsoft.com/office/excel/2006/main">
          <x14:cfRule type="iconSet" priority="184" id="{29C41DDB-17ED-41C9-8F43-0C1E4A309BBE}">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H42:H43</xm:sqref>
        </x14:conditionalFormatting>
        <x14:conditionalFormatting xmlns:xm="http://schemas.microsoft.com/office/excel/2006/main">
          <x14:cfRule type="iconSet" priority="161" id="{11FF27EC-4874-43B6-AD14-59445534ECEC}">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H47</xm:sqref>
        </x14:conditionalFormatting>
        <x14:conditionalFormatting xmlns:xm="http://schemas.microsoft.com/office/excel/2006/main">
          <x14:cfRule type="iconSet" priority="158" id="{B85D21DA-257E-4914-9F86-4859E52AC700}">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H49</xm:sqref>
        </x14:conditionalFormatting>
        <x14:conditionalFormatting xmlns:xm="http://schemas.microsoft.com/office/excel/2006/main">
          <x14:cfRule type="iconSet" priority="155" id="{2507BABF-92D2-4D22-A4DE-EDE6C002D3EE}">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H50</xm:sqref>
        </x14:conditionalFormatting>
        <x14:conditionalFormatting xmlns:xm="http://schemas.microsoft.com/office/excel/2006/main">
          <x14:cfRule type="iconSet" priority="149" id="{2802277D-ADBA-457C-A4E2-303264DD0A6F}">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H45</xm:sqref>
        </x14:conditionalFormatting>
        <x14:conditionalFormatting xmlns:xm="http://schemas.microsoft.com/office/excel/2006/main">
          <x14:cfRule type="iconSet" priority="126" id="{392BFCF9-57F7-43A3-ACA6-7D9CFE534621}">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H83</xm:sqref>
        </x14:conditionalFormatting>
        <x14:conditionalFormatting xmlns:xm="http://schemas.microsoft.com/office/excel/2006/main">
          <x14:cfRule type="iconSet" priority="113" id="{F9FB2876-D5B9-45A8-88E6-7A5C6ED24D5B}">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H87</xm:sqref>
        </x14:conditionalFormatting>
        <x14:conditionalFormatting xmlns:xm="http://schemas.microsoft.com/office/excel/2006/main">
          <x14:cfRule type="iconSet" priority="106" id="{5C3B2FC0-E946-47E1-863A-986BF9439054}">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H88</xm:sqref>
        </x14:conditionalFormatting>
        <x14:conditionalFormatting xmlns:xm="http://schemas.microsoft.com/office/excel/2006/main">
          <x14:cfRule type="iconSet" priority="102" id="{E03C58B6-A829-49D7-A53A-2F8A0A9133CB}">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H89</xm:sqref>
        </x14:conditionalFormatting>
        <x14:conditionalFormatting xmlns:xm="http://schemas.microsoft.com/office/excel/2006/main">
          <x14:cfRule type="iconSet" priority="92" id="{E502C419-61ED-42A9-AB15-2A71AE8153A7}">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H54</xm:sqref>
        </x14:conditionalFormatting>
        <x14:conditionalFormatting xmlns:xm="http://schemas.microsoft.com/office/excel/2006/main">
          <x14:cfRule type="iconSet" priority="82" id="{768A3D60-83A2-4107-8674-10212A2F6186}">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H76</xm:sqref>
        </x14:conditionalFormatting>
        <x14:conditionalFormatting xmlns:xm="http://schemas.microsoft.com/office/excel/2006/main">
          <x14:cfRule type="iconSet" priority="61" id="{7075AEE6-CB73-4CB8-AF2C-F10FD63EFA79}">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H32</xm:sqref>
        </x14:conditionalFormatting>
        <x14:conditionalFormatting xmlns:xm="http://schemas.microsoft.com/office/excel/2006/main">
          <x14:cfRule type="iconSet" priority="52" id="{0BB1A8FF-9259-478F-9D6F-3ECFC7A0171D}">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H31</xm:sqref>
        </x14:conditionalFormatting>
        <x14:conditionalFormatting xmlns:xm="http://schemas.microsoft.com/office/excel/2006/main">
          <x14:cfRule type="iconSet" priority="51" id="{5C425505-F981-456B-9717-7A2ABE267ED0}">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H31</xm:sqref>
        </x14:conditionalFormatting>
        <x14:conditionalFormatting xmlns:xm="http://schemas.microsoft.com/office/excel/2006/main">
          <x14:cfRule type="iconSet" priority="50" id="{9229E8BA-A46C-416C-B043-713158607E71}">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H19</xm:sqref>
        </x14:conditionalFormatting>
        <x14:conditionalFormatting xmlns:xm="http://schemas.microsoft.com/office/excel/2006/main">
          <x14:cfRule type="iconSet" priority="49" id="{29D54AA2-CA38-4A05-9879-EF3408E9B125}">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H19</xm:sqref>
        </x14:conditionalFormatting>
        <x14:conditionalFormatting xmlns:xm="http://schemas.microsoft.com/office/excel/2006/main">
          <x14:cfRule type="iconSet" priority="48" id="{E4AF8526-35BE-4824-A011-0916E78C2ECA}">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H21</xm:sqref>
        </x14:conditionalFormatting>
        <x14:conditionalFormatting xmlns:xm="http://schemas.microsoft.com/office/excel/2006/main">
          <x14:cfRule type="iconSet" priority="47" id="{CE9F16D4-A2AD-4FC5-B6B3-E50EAED268A0}">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H21</xm:sqref>
        </x14:conditionalFormatting>
        <x14:conditionalFormatting xmlns:xm="http://schemas.microsoft.com/office/excel/2006/main">
          <x14:cfRule type="iconSet" priority="45" id="{18D595A7-B2BA-4330-8906-6C1A5FF4F9EA}">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H36</xm:sqref>
        </x14:conditionalFormatting>
        <x14:conditionalFormatting xmlns:xm="http://schemas.microsoft.com/office/excel/2006/main">
          <x14:cfRule type="iconSet" priority="44" id="{0B54AEF5-08C1-4052-9CA2-6C941B08696F}">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H37</xm:sqref>
        </x14:conditionalFormatting>
        <x14:conditionalFormatting xmlns:xm="http://schemas.microsoft.com/office/excel/2006/main">
          <x14:cfRule type="iconSet" priority="43" id="{332806BD-779C-44F9-972C-A60291B2CC93}">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H37</xm:sqref>
        </x14:conditionalFormatting>
        <x14:conditionalFormatting xmlns:xm="http://schemas.microsoft.com/office/excel/2006/main">
          <x14:cfRule type="iconSet" priority="41" id="{093F38B9-3243-4B50-B766-127D8A7B79BC}">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H38:H39</xm:sqref>
        </x14:conditionalFormatting>
        <x14:conditionalFormatting xmlns:xm="http://schemas.microsoft.com/office/excel/2006/main">
          <x14:cfRule type="iconSet" priority="39" id="{D6F502FA-BDBF-4B31-A3FA-A7AD0D4A111F}">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H61</xm:sqref>
        </x14:conditionalFormatting>
        <x14:conditionalFormatting xmlns:xm="http://schemas.microsoft.com/office/excel/2006/main">
          <x14:cfRule type="iconSet" priority="37" id="{283BCA70-7236-4F60-84C6-42FF5D520D49}">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H62</xm:sqref>
        </x14:conditionalFormatting>
        <x14:conditionalFormatting xmlns:xm="http://schemas.microsoft.com/office/excel/2006/main">
          <x14:cfRule type="iconSet" priority="36" id="{35253FF9-9805-4439-ACEB-59642DB8716D}">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H66</xm:sqref>
        </x14:conditionalFormatting>
        <x14:conditionalFormatting xmlns:xm="http://schemas.microsoft.com/office/excel/2006/main">
          <x14:cfRule type="iconSet" priority="35" id="{F1DB40C7-E8FE-441C-B516-A4E9AB668644}">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H66</xm:sqref>
        </x14:conditionalFormatting>
        <x14:conditionalFormatting xmlns:xm="http://schemas.microsoft.com/office/excel/2006/main">
          <x14:cfRule type="iconSet" priority="34" id="{BF25D552-E8E1-49E9-BB27-CEBCE74AA363}">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H68</xm:sqref>
        </x14:conditionalFormatting>
        <x14:conditionalFormatting xmlns:xm="http://schemas.microsoft.com/office/excel/2006/main">
          <x14:cfRule type="iconSet" priority="33" id="{31FB6C7A-8C2E-4950-8589-68933CA7D03B}">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H68</xm:sqref>
        </x14:conditionalFormatting>
        <x14:conditionalFormatting xmlns:xm="http://schemas.microsoft.com/office/excel/2006/main">
          <x14:cfRule type="iconSet" priority="31" id="{34BCF630-73E1-450F-B03F-1D16A6331957}">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H67</xm:sqref>
        </x14:conditionalFormatting>
        <x14:conditionalFormatting xmlns:xm="http://schemas.microsoft.com/office/excel/2006/main">
          <x14:cfRule type="iconSet" priority="29" id="{F6F7D727-CB9C-4478-8811-B2DEB6DD211C}">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H80</xm:sqref>
        </x14:conditionalFormatting>
        <x14:conditionalFormatting xmlns:xm="http://schemas.microsoft.com/office/excel/2006/main">
          <x14:cfRule type="iconSet" priority="27" id="{7C9217BC-6DE0-485E-A741-BDC48AE35FD5}">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H81</xm:sqref>
        </x14:conditionalFormatting>
        <x14:conditionalFormatting xmlns:xm="http://schemas.microsoft.com/office/excel/2006/main">
          <x14:cfRule type="iconSet" priority="25" id="{F1C19D8E-797F-4DA9-9ED5-A1F5034CD5E6}">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H82</xm:sqref>
        </x14:conditionalFormatting>
        <x14:conditionalFormatting xmlns:xm="http://schemas.microsoft.com/office/excel/2006/main">
          <x14:cfRule type="iconSet" priority="23" id="{8D45E84D-40D1-4E09-8989-452791E768B8}">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H85</xm:sqref>
        </x14:conditionalFormatting>
        <x14:conditionalFormatting xmlns:xm="http://schemas.microsoft.com/office/excel/2006/main">
          <x14:cfRule type="iconSet" priority="21" id="{4DDF9462-9AE7-410E-91A9-BCD50775BF0E}">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H86</xm:sqref>
        </x14:conditionalFormatting>
        <x14:conditionalFormatting xmlns:xm="http://schemas.microsoft.com/office/excel/2006/main">
          <x14:cfRule type="iconSet" priority="19" id="{C2CF551E-E839-48AA-88C3-935D5369BE33}">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H73</xm:sqref>
        </x14:conditionalFormatting>
        <x14:conditionalFormatting xmlns:xm="http://schemas.microsoft.com/office/excel/2006/main">
          <x14:cfRule type="iconSet" priority="17" id="{EB7B1DAD-D533-48D3-9900-06FF13362709}">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H75</xm:sqref>
        </x14:conditionalFormatting>
        <x14:conditionalFormatting xmlns:xm="http://schemas.microsoft.com/office/excel/2006/main">
          <x14:cfRule type="iconSet" priority="15" id="{4BA38031-C7CD-4492-8238-ED821A25B01C}">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H26</xm:sqref>
        </x14:conditionalFormatting>
        <x14:conditionalFormatting xmlns:xm="http://schemas.microsoft.com/office/excel/2006/main">
          <x14:cfRule type="iconSet" priority="13" id="{70AFE98E-6FD1-40C8-86C4-A13EE83A06B2}">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H28</xm:sqref>
        </x14:conditionalFormatting>
        <x14:conditionalFormatting xmlns:xm="http://schemas.microsoft.com/office/excel/2006/main">
          <x14:cfRule type="iconSet" priority="11" id="{12A610AF-4BEB-4A02-AF44-E56FF814FF1F}">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H40</xm:sqref>
        </x14:conditionalFormatting>
        <x14:conditionalFormatting xmlns:xm="http://schemas.microsoft.com/office/excel/2006/main">
          <x14:cfRule type="iconSet" priority="9" id="{870B62C8-087B-4C77-8684-998546912B02}">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H44</xm:sqref>
        </x14:conditionalFormatting>
        <x14:conditionalFormatting xmlns:xm="http://schemas.microsoft.com/office/excel/2006/main">
          <x14:cfRule type="iconSet" priority="7" id="{5F6CE404-F376-4B1B-89E2-960A867D35D7}">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H51</xm:sqref>
        </x14:conditionalFormatting>
        <x14:conditionalFormatting xmlns:xm="http://schemas.microsoft.com/office/excel/2006/main">
          <x14:cfRule type="iconSet" priority="5" id="{F47594E9-16E8-4D50-9361-3615C44B215F}">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H57</xm:sqref>
        </x14:conditionalFormatting>
        <x14:conditionalFormatting xmlns:xm="http://schemas.microsoft.com/office/excel/2006/main">
          <x14:cfRule type="iconSet" priority="3" id="{B64941DA-1D64-4D2D-B5A0-87386BCAC7A1}">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H59</xm:sqref>
        </x14:conditionalFormatting>
        <x14:conditionalFormatting xmlns:xm="http://schemas.microsoft.com/office/excel/2006/main">
          <x14:cfRule type="iconSet" priority="1" id="{2485010A-DFC7-4C08-BA15-55BB5E36841C}">
            <x14:iconSet iconSet="3Arrows" custom="1">
              <x14:cfvo type="percent">
                <xm:f>0</xm:f>
              </x14:cfvo>
              <x14:cfvo type="num">
                <xm:f>0</xm:f>
              </x14:cfvo>
              <x14:cfvo type="num" gte="0">
                <xm:f>0</xm:f>
              </x14:cfvo>
              <x14:cfIcon iconSet="3ArrowsGray" iconId="0"/>
              <x14:cfIcon iconSet="3ArrowsGray" iconId="1"/>
              <x14:cfIcon iconSet="3ArrowsGray" iconId="2"/>
            </x14:iconSet>
          </x14:cfRule>
          <xm:sqref>H63</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first="1" last="1">
          <x14:colorSeries theme="4"/>
          <x14:colorNegative theme="5"/>
          <x14:colorAxis rgb="FF000000"/>
          <x14:colorMarkers theme="4" tint="-0.249977111117893"/>
          <x14:colorFirst theme="4" tint="-0.249977111117893"/>
          <x14:colorLast theme="4" tint="-0.249977111117893"/>
          <x14:colorHigh theme="4" tint="-0.249977111117893"/>
          <x14:colorLow theme="4" tint="-0.249977111117893"/>
          <x14:sparklines>
            <x14:sparkline>
              <xm:f>Calculations!C8:G8</xm:f>
              <xm:sqref>B10</xm:sqref>
            </x14:sparkline>
            <x14:sparkline>
              <xm:f>Calculations!C9:G9</xm:f>
              <xm:sqref>D10</xm:sqref>
            </x14:sparkline>
            <x14:sparkline>
              <xm:f>Calculations!C10:G10</xm:f>
              <xm:sqref>F10</xm:sqref>
            </x14:sparkline>
            <x14:sparkline>
              <xm:f>Calculations!C11:G11</xm:f>
              <xm:sqref>H10</xm:sqref>
            </x14:sparkline>
            <x14:sparkline>
              <xm:f>Calculations!C12:G12</xm:f>
              <xm:sqref>K10</xm:sqref>
            </x14:sparkline>
          </x14:sparklines>
        </x14:sparklineGroup>
        <x14:sparklineGroup markers="1">
          <x14:colorSeries theme="4"/>
          <x14:colorNegative theme="5"/>
          <x14:colorAxis rgb="FF000000"/>
          <x14:colorMarkers theme="4" tint="-0.249977111117893"/>
          <x14:colorFirst theme="4" tint="-0.249977111117893"/>
          <x14:colorLast theme="4" tint="-0.249977111117893"/>
          <x14:colorHigh theme="4" tint="-0.249977111117893"/>
          <x14:colorLow theme="4" tint="-0.249977111117893"/>
          <x14:sparklines>
            <x14:sparkline>
              <xm:f>Calculations!C15:G15</xm:f>
              <xm:sqref>J54</xm:sqref>
            </x14:sparkline>
            <x14:sparkline>
              <xm:f>Calculations!C16:G16</xm:f>
              <xm:sqref>J55</xm:sqref>
            </x14:sparkline>
            <x14:sparkline>
              <xm:f>Calculations!C17:G17</xm:f>
              <xm:sqref>J56</xm:sqref>
            </x14:sparkline>
            <x14:sparkline>
              <xm:f>Calculations!C18:G18</xm:f>
              <xm:sqref>J57</xm:sqref>
            </x14:sparkline>
            <x14:sparkline>
              <xm:f>Calculations!C19:G19</xm:f>
              <xm:sqref>J58</xm:sqref>
            </x14:sparkline>
            <x14:sparkline>
              <xm:f>Calculations!C20:G20</xm:f>
              <xm:sqref>J59</xm:sqref>
            </x14:sparkline>
            <x14:sparkline>
              <xm:f>Calculations!C21:G21</xm:f>
              <xm:sqref>J18</xm:sqref>
            </x14:sparkline>
            <x14:sparkline>
              <xm:f>Calculations!C22:G22</xm:f>
              <xm:sqref>J19</xm:sqref>
            </x14:sparkline>
            <x14:sparkline>
              <xm:f>Calculations!C23:G23</xm:f>
              <xm:sqref>J21</xm:sqref>
            </x14:sparkline>
            <x14:sparkline>
              <xm:f>Calculations!C24:G24</xm:f>
              <xm:sqref>J20</xm:sqref>
            </x14:sparkline>
            <x14:sparkline>
              <xm:f>Calculations!C25:G25</xm:f>
              <xm:sqref>J22</xm:sqref>
            </x14:sparkline>
            <x14:sparkline>
              <xm:f>Calculations!C26:G26</xm:f>
              <xm:sqref>J24</xm:sqref>
            </x14:sparkline>
            <x14:sparkline>
              <xm:f>Calculations!C27:G27</xm:f>
              <xm:sqref>J25</xm:sqref>
            </x14:sparkline>
            <x14:sparkline>
              <xm:f>Calculations!C28:G28</xm:f>
              <xm:sqref>J27</xm:sqref>
            </x14:sparkline>
            <x14:sparkline>
              <xm:f>Calculations!C29:G29</xm:f>
              <xm:sqref>J26</xm:sqref>
            </x14:sparkline>
            <x14:sparkline>
              <xm:f>Calculations!C30:G30</xm:f>
              <xm:sqref>J28</xm:sqref>
            </x14:sparkline>
            <x14:sparkline>
              <xm:f>Calculations!C31:G31</xm:f>
              <xm:sqref>J30</xm:sqref>
            </x14:sparkline>
            <x14:sparkline>
              <xm:f>Calculations!C32:G32</xm:f>
              <xm:sqref>J31</xm:sqref>
            </x14:sparkline>
            <x14:sparkline>
              <xm:f>Calculations!C33:G33</xm:f>
              <xm:sqref>J32</xm:sqref>
            </x14:sparkline>
            <x14:sparkline>
              <xm:f>Calculations!C34:G34</xm:f>
              <xm:sqref>J35</xm:sqref>
            </x14:sparkline>
            <x14:sparkline>
              <xm:f>Calculations!C35:G35</xm:f>
              <xm:sqref>J36</xm:sqref>
            </x14:sparkline>
            <x14:sparkline>
              <xm:f>Calculations!C36:G36</xm:f>
              <xm:sqref>J37</xm:sqref>
            </x14:sparkline>
            <x14:sparkline>
              <xm:f>Calculations!C37:G37</xm:f>
              <xm:sqref>J38</xm:sqref>
            </x14:sparkline>
            <x14:sparkline>
              <xm:f>Calculations!C38:G38</xm:f>
              <xm:sqref>J39</xm:sqref>
            </x14:sparkline>
            <x14:sparkline>
              <xm:f>Calculations!C39:G39</xm:f>
              <xm:sqref>J40</xm:sqref>
            </x14:sparkline>
            <x14:sparkline>
              <xm:f>Calculations!C40:G40</xm:f>
              <xm:sqref>J42</xm:sqref>
            </x14:sparkline>
            <x14:sparkline>
              <xm:f>Calculations!C41:G41</xm:f>
              <xm:sqref>J43</xm:sqref>
            </x14:sparkline>
            <x14:sparkline>
              <xm:f>Calculations!C42:G42</xm:f>
              <xm:sqref>J44</xm:sqref>
            </x14:sparkline>
            <x14:sparkline>
              <xm:f>Calculations!C43:G43</xm:f>
              <xm:sqref>J45</xm:sqref>
            </x14:sparkline>
            <x14:sparkline>
              <xm:f>Calculations!C44:G44</xm:f>
              <xm:sqref>J46</xm:sqref>
            </x14:sparkline>
            <x14:sparkline>
              <xm:f>Calculations!C45:G45</xm:f>
              <xm:sqref>J47</xm:sqref>
            </x14:sparkline>
            <x14:sparkline>
              <xm:f>Calculations!C46:G46</xm:f>
              <xm:sqref>J48</xm:sqref>
            </x14:sparkline>
            <x14:sparkline>
              <xm:f>Calculations!C47:G47</xm:f>
              <xm:sqref>J49</xm:sqref>
            </x14:sparkline>
            <x14:sparkline>
              <xm:f>Calculations!C48:G48</xm:f>
              <xm:sqref>J50</xm:sqref>
            </x14:sparkline>
            <x14:sparkline>
              <xm:f>Calculations!C49:G49</xm:f>
              <xm:sqref>J51</xm:sqref>
            </x14:sparkline>
            <x14:sparkline>
              <xm:f>Calculations!C50:G50</xm:f>
              <xm:sqref>J61</xm:sqref>
            </x14:sparkline>
            <x14:sparkline>
              <xm:f>Calculations!C51:G51</xm:f>
              <xm:sqref>J62</xm:sqref>
            </x14:sparkline>
            <x14:sparkline>
              <xm:f>Calculations!C52:G52</xm:f>
              <xm:sqref>J63</xm:sqref>
            </x14:sparkline>
            <x14:sparkline>
              <xm:f>Calculations!C53:G53</xm:f>
              <xm:sqref>J66</xm:sqref>
            </x14:sparkline>
            <x14:sparkline>
              <xm:f>Calculations!C54:G54</xm:f>
              <xm:sqref>J67</xm:sqref>
            </x14:sparkline>
            <x14:sparkline>
              <xm:f>Calculations!C55:G55</xm:f>
              <xm:sqref>J68</xm:sqref>
            </x14:sparkline>
            <x14:sparkline>
              <xm:f>Calculations!C56:G56</xm:f>
              <xm:sqref>J71</xm:sqref>
            </x14:sparkline>
            <x14:sparkline>
              <xm:f>Calculations!C57:G57</xm:f>
              <xm:sqref>J72</xm:sqref>
            </x14:sparkline>
            <x14:sparkline>
              <xm:f>Calculations!C58:G58</xm:f>
              <xm:sqref>J73</xm:sqref>
            </x14:sparkline>
            <x14:sparkline>
              <xm:f>Calculations!C59:G59</xm:f>
              <xm:sqref>J74</xm:sqref>
            </x14:sparkline>
            <x14:sparkline>
              <xm:f>Calculations!C60:G60</xm:f>
              <xm:sqref>J75</xm:sqref>
            </x14:sparkline>
            <x14:sparkline>
              <xm:f>Calculations!C61:G61</xm:f>
              <xm:sqref>J76</xm:sqref>
            </x14:sparkline>
            <x14:sparkline>
              <xm:f>Calculations!C62:G62</xm:f>
              <xm:sqref>J77</xm:sqref>
            </x14:sparkline>
            <x14:sparkline>
              <xm:f>Calculations!C63:G63</xm:f>
              <xm:sqref>J80</xm:sqref>
            </x14:sparkline>
            <x14:sparkline>
              <xm:f>Calculations!C64:G64</xm:f>
              <xm:sqref>J81</xm:sqref>
            </x14:sparkline>
            <x14:sparkline>
              <xm:f>Calculations!C65:G65</xm:f>
              <xm:sqref>J82</xm:sqref>
            </x14:sparkline>
            <x14:sparkline>
              <xm:f>Calculations!C66:G66</xm:f>
              <xm:sqref>J83</xm:sqref>
            </x14:sparkline>
            <x14:sparkline>
              <xm:f>Calculations!C67:G67</xm:f>
              <xm:sqref>J85</xm:sqref>
            </x14:sparkline>
            <x14:sparkline>
              <xm:f>Calculations!C68:G68</xm:f>
              <xm:sqref>J86</xm:sqref>
            </x14:sparkline>
            <x14:sparkline>
              <xm:f>Calculations!C69:G69</xm:f>
              <xm:sqref>J87</xm:sqref>
            </x14:sparkline>
            <x14:sparkline>
              <xm:f>Calculations!C70:G70</xm:f>
              <xm:sqref>J88</xm:sqref>
            </x14:sparkline>
            <x14:sparkline>
              <xm:f>Calculations!C71:G71</xm:f>
              <xm:sqref>J89</xm:sqref>
            </x14:sparkline>
            <x14:sparkline>
              <xm:f>Calculations!C72:G72</xm:f>
              <xm:sqref>J90</xm:sqref>
            </x14:sparkline>
            <x14:sparkline>
              <xm:f>Calculations!C73:G73</xm:f>
              <xm:sqref>J91</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T105"/>
  <sheetViews>
    <sheetView zoomScaleNormal="100" workbookViewId="0">
      <pane ySplit="3" topLeftCell="A4" activePane="bottomLeft" state="frozen"/>
      <selection pane="bottomLeft" activeCell="A2" sqref="A2:M2"/>
    </sheetView>
  </sheetViews>
  <sheetFormatPr defaultRowHeight="15" x14ac:dyDescent="0.25"/>
  <cols>
    <col min="1" max="1" width="40.42578125" customWidth="1"/>
    <col min="2" max="3" width="12.28515625" hidden="1" customWidth="1"/>
    <col min="4" max="13" width="12.28515625" customWidth="1"/>
  </cols>
  <sheetData>
    <row r="1" spans="1:13" ht="18.75" hidden="1" x14ac:dyDescent="0.3">
      <c r="A1" s="203" t="str">
        <f>'Home Page'!B4</f>
        <v>Life Sciences Institute</v>
      </c>
      <c r="B1" s="204"/>
    </row>
    <row r="2" spans="1:13" ht="23.25" x14ac:dyDescent="0.35">
      <c r="A2" s="413" t="str">
        <f>A1&amp;" Scorecard"&amp;" - FY 2015 through FYTD 2019"</f>
        <v>Life Sciences Institute Scorecard - FY 2015 through FYTD 2019</v>
      </c>
      <c r="B2" s="413"/>
      <c r="C2" s="413"/>
      <c r="D2" s="413"/>
      <c r="E2" s="413"/>
      <c r="F2" s="413"/>
      <c r="G2" s="413"/>
      <c r="H2" s="413"/>
      <c r="I2" s="413"/>
      <c r="J2" s="413"/>
      <c r="K2" s="413"/>
      <c r="L2" s="413"/>
      <c r="M2" s="413"/>
    </row>
    <row r="3" spans="1:13" ht="4.5" customHeight="1" thickBot="1" x14ac:dyDescent="0.35">
      <c r="A3" s="61"/>
      <c r="B3" s="61"/>
      <c r="C3" s="61"/>
      <c r="D3" s="61"/>
      <c r="E3" s="61"/>
      <c r="F3" s="61"/>
      <c r="G3" s="61"/>
      <c r="H3" s="61"/>
      <c r="I3" s="61"/>
      <c r="J3" s="61"/>
      <c r="K3" s="61"/>
      <c r="L3" s="61"/>
      <c r="M3" s="61"/>
    </row>
    <row r="4" spans="1:13" s="140" customFormat="1" ht="18.75" x14ac:dyDescent="0.3">
      <c r="A4" s="414" t="s">
        <v>216</v>
      </c>
      <c r="B4" s="415"/>
      <c r="C4" s="415"/>
      <c r="D4" s="415"/>
      <c r="E4" s="415"/>
      <c r="F4" s="415"/>
      <c r="G4" s="415"/>
      <c r="H4" s="415"/>
      <c r="I4" s="415"/>
      <c r="J4" s="415"/>
      <c r="K4" s="415"/>
      <c r="L4" s="415"/>
      <c r="M4" s="416"/>
    </row>
    <row r="5" spans="1:13" s="140" customFormat="1" ht="15.75" x14ac:dyDescent="0.25">
      <c r="A5" s="141"/>
      <c r="B5" s="401" t="s">
        <v>55</v>
      </c>
      <c r="C5" s="401"/>
      <c r="D5" s="401" t="s">
        <v>54</v>
      </c>
      <c r="E5" s="401"/>
      <c r="F5" s="401" t="s">
        <v>53</v>
      </c>
      <c r="G5" s="401"/>
      <c r="H5" s="401" t="s">
        <v>56</v>
      </c>
      <c r="I5" s="401"/>
      <c r="J5" s="401" t="s">
        <v>206</v>
      </c>
      <c r="K5" s="401"/>
      <c r="L5" s="401" t="s">
        <v>207</v>
      </c>
      <c r="M5" s="402"/>
    </row>
    <row r="6" spans="1:13" s="140" customFormat="1" ht="15.75" x14ac:dyDescent="0.25">
      <c r="A6" s="157" t="s">
        <v>219</v>
      </c>
      <c r="B6" s="110"/>
      <c r="C6" s="144"/>
      <c r="D6" s="169"/>
      <c r="E6" s="147"/>
      <c r="F6" s="170"/>
      <c r="G6" s="147"/>
      <c r="H6" s="170"/>
      <c r="I6" s="147"/>
      <c r="J6" s="170"/>
      <c r="K6" s="147"/>
      <c r="L6" s="168"/>
      <c r="M6" s="148"/>
    </row>
    <row r="7" spans="1:13" s="140" customFormat="1" ht="15.75" x14ac:dyDescent="0.25">
      <c r="A7" s="149" t="s">
        <v>100</v>
      </c>
      <c r="B7" s="408">
        <f>(IF(ISNA(VLOOKUP($A$1,'Retro Pay'!$A$5:$AK$51,2,FALSE))=TRUE,"DEPT not Found",VLOOKUP($A$1,'Retro Pay'!$A$5:$AK$51,2,FALSE)))/1000</f>
        <v>12217.534</v>
      </c>
      <c r="C7" s="407"/>
      <c r="D7" s="406">
        <f>(IF(ISNA(VLOOKUP($A$1,'Retro Pay'!$A$5:$AK$51,3,FALSE))=TRUE,"DEPT not Found",VLOOKUP($A$1,'Retro Pay'!$A$5:$AK$51,3,FALSE)))/1000</f>
        <v>11798.02534</v>
      </c>
      <c r="E7" s="407"/>
      <c r="F7" s="408">
        <f>(IF(ISNA(VLOOKUP($A$1,'Retro Pay'!$A$5:$AK$51,4,FALSE))=TRUE,"DEPT not Found",VLOOKUP($A$1,'Retro Pay'!$A$5:$AK$51,4,FALSE)))/1000</f>
        <v>11631.73307</v>
      </c>
      <c r="G7" s="407"/>
      <c r="H7" s="408">
        <f>(IF(ISNA(VLOOKUP($A$1,'Retro Pay'!$A$5:$AK$51,5,FALSE))=TRUE,"DEPT not Found",VLOOKUP($A$1,'Retro Pay'!$A$5:$AK$51,5,FALSE)))/1000</f>
        <v>13161.719429999999</v>
      </c>
      <c r="I7" s="407"/>
      <c r="J7" s="408">
        <f>(IF(ISNA(VLOOKUP($A$1,'Retro Pay'!$A$5:$AK$51,6,FALSE))=TRUE,"DEPT not Found",VLOOKUP($A$1,'Retro Pay'!$A$5:$AK$51,6,FALSE)))/1000</f>
        <v>13046.20874</v>
      </c>
      <c r="K7" s="407"/>
      <c r="L7" s="406">
        <f>(IF(ISNA(VLOOKUP($A$1,'Retro Pay'!$A$5:$AK$51,7,FALSE))=TRUE,"DEPT not Found",VLOOKUP($A$1,'Retro Pay'!$A$5:$AK$51,7,FALSE)))/1000</f>
        <v>13352.26607</v>
      </c>
      <c r="M7" s="417"/>
    </row>
    <row r="8" spans="1:13" s="140" customFormat="1" ht="15.75" x14ac:dyDescent="0.25">
      <c r="A8" s="149" t="s">
        <v>167</v>
      </c>
      <c r="B8" s="205">
        <f>(IF(ISNA(VLOOKUP($A$1,'Retro Pay'!$A$5:$AK$51,9,FALSE))=TRUE,"DEPT not Found",VLOOKUP($A$1,'Retro Pay'!$A$5:$AK$51,9,FALSE)))/1000</f>
        <v>1496.499</v>
      </c>
      <c r="C8" s="171">
        <f>IF(ISNA(VLOOKUP($A$1,'Retro Pay'!$A$5:$AK$51,10,FALSE))=TRUE,"DEPT not Found",VLOOKUP($A$1,'Retro Pay'!$A$5:$AK$51,10,FALSE))</f>
        <v>0.12248781137011773</v>
      </c>
      <c r="D8" s="206">
        <f>(IF(ISNA(VLOOKUP($A$1,'Retro Pay'!$A$5:$AK$51,11,FALSE))=TRUE,"DEPT not Found",VLOOKUP($A$1,'Retro Pay'!$A$5:$AK$51,11,FALSE)))/1000</f>
        <v>1967.9167199999999</v>
      </c>
      <c r="E8" s="171">
        <f>IF(ISNA(VLOOKUP($A$1,'Retro Pay'!$A$5:$AK$51,12,FALSE))=TRUE,"DEPT not Found",VLOOKUP($A$1,'Retro Pay'!$A$5:$AK$51,12,FALSE))</f>
        <v>0.16680051646676664</v>
      </c>
      <c r="F8" s="205">
        <f>(IF(ISNA(VLOOKUP($A$1,'Retro Pay'!$A$5:$AK$51,13,FALSE))=TRUE,"DEPT not Found",VLOOKUP($A$1,'Retro Pay'!$A$5:$AK$51,13,FALSE)))/1000</f>
        <v>1182.6903300000001</v>
      </c>
      <c r="G8" s="171">
        <f>IF(ISNA(VLOOKUP($A$1,'Retro Pay'!$A$5:$AK$51,14,FALSE))=TRUE,"DEPT not Found",VLOOKUP($A$1,'Retro Pay'!$A$5:$AK$51,14,FALSE))</f>
        <v>0.10167791187113272</v>
      </c>
      <c r="H8" s="205">
        <f>(IF(ISNA(VLOOKUP($A$1,'Retro Pay'!$A$5:$AK$51,15,FALSE))=TRUE,"DEPT not Found",VLOOKUP($A$1,'Retro Pay'!$A$5:$AK$51,15,FALSE)))/1000</f>
        <v>1588.52007</v>
      </c>
      <c r="I8" s="171">
        <f>IF(ISNA(VLOOKUP($A$1,'Retro Pay'!$A$5:$AK$51,16,FALSE))=TRUE,"DEPT not Found",VLOOKUP($A$1,'Retro Pay'!$A$5:$AK$51,16,FALSE))</f>
        <v>0.12069244284141377</v>
      </c>
      <c r="J8" s="205">
        <f>(IF(ISNA(VLOOKUP($A$1,'Retro Pay'!$A$5:$AK$51,17,FALSE))=TRUE,"DEPT not Found",VLOOKUP($A$1,'Retro Pay'!$A$5:$AK$51,17,FALSE)))/1000</f>
        <v>1980.36726</v>
      </c>
      <c r="K8" s="171">
        <f>IF(ISNA(VLOOKUP($A$1,'Retro Pay'!$A$5:$AK$51,18,FALSE))=TRUE,"DEPT not Found",VLOOKUP($A$1,'Retro Pay'!$A$5:$AK$51,18,FALSE))</f>
        <v>0.15179638004167026</v>
      </c>
      <c r="L8" s="205">
        <f>(IF(ISNA(VLOOKUP($A$1,'Retro Pay'!$A$5:$AK$51,19,FALSE))=TRUE,"DEPT not Found",VLOOKUP($A$1,'Retro Pay'!$A$5:$AK$51,19,FALSE)))/1000</f>
        <v>1587.9008400000014</v>
      </c>
      <c r="M8" s="172">
        <f>IF(ISNA(VLOOKUP($A$1,'Retro Pay'!$A$5:$AK$51,20,FALSE))=TRUE,"DEPT not Found",VLOOKUP($A$1,'Retro Pay'!$A$5:$AK$51,20,FALSE))</f>
        <v>0.1189236966725605</v>
      </c>
    </row>
    <row r="9" spans="1:13" s="140" customFormat="1" ht="15.75" x14ac:dyDescent="0.25">
      <c r="A9" s="149" t="s">
        <v>169</v>
      </c>
      <c r="B9" s="205">
        <f>(IF(ISNA(VLOOKUP($A$1,'Retro Pay'!$A$5:$AK$51,22,FALSE))=TRUE,"DEPT not Found",VLOOKUP($A$1,'Retro Pay'!$A$5:$AK$51,22,FALSE))/1000)</f>
        <v>387.60300000000001</v>
      </c>
      <c r="C9" s="150">
        <f>IF(ISNA(VLOOKUP($A$1,'Retro Pay'!$A$5:$AK$51,23,FALSE))=TRUE,"DEPT not Found",VLOOKUP($A$1,'Retro Pay'!$A$5:$AK$51,23,FALSE))</f>
        <v>3.1725141914890516E-2</v>
      </c>
      <c r="D9" s="206">
        <f>(IF(ISNA(VLOOKUP($A$1,'Retro Pay'!$A$5:$AG$51,24,FALSE))=TRUE,"DEPT not Found",VLOOKUP($A$1,'Retro Pay'!$A$5:$AG$51,24,FALSE))/1000)</f>
        <v>757.14023000000009</v>
      </c>
      <c r="E9" s="150">
        <f>IF(ISNA(VLOOKUP($A$1,'Retro Pay'!$A$5:$AG$51,25,FALSE))=TRUE,"DEPT not Found",VLOOKUP($A$1,'Retro Pay'!$A$5:$AG$51,25,FALSE))</f>
        <v>6.4175165604450218E-2</v>
      </c>
      <c r="F9" s="205">
        <f>(IF(ISNA(VLOOKUP($A$1,'Retro Pay'!$A$5:$AG$51,26,FALSE))=TRUE,"DEPT not Found",VLOOKUP($A$1,'Retro Pay'!$A$5:$AG$51,26,FALSE))/1000)</f>
        <v>245.00779999999997</v>
      </c>
      <c r="G9" s="150">
        <f>IF(ISNA(VLOOKUP($A$1,'Retro Pay'!$A$5:$AG$51,27,FALSE))=TRUE,"DEPT not Found",VLOOKUP($A$1,'Retro Pay'!$A$5:$AG$51,27,FALSE))</f>
        <v>2.1063739902346296E-2</v>
      </c>
      <c r="H9" s="205">
        <f>(IF(ISNA(VLOOKUP($A$1,'Retro Pay'!$A$5:$AG$51,28,FALSE))=TRUE,"DEPT not Found",VLOOKUP($A$1,'Retro Pay'!$A$5:$AG$51,28,FALSE))/1000)</f>
        <v>287.05917999999997</v>
      </c>
      <c r="I9" s="150">
        <f>IF(ISNA(VLOOKUP($A$1,'Retro Pay'!$A$5:$AG$51,29,FALSE))=TRUE,"DEPT not Found",VLOOKUP($A$1,'Retro Pay'!$A$5:$AG$51,29,FALSE))</f>
        <v>2.4331120821274657E-2</v>
      </c>
      <c r="J9" s="205">
        <f>(IF(ISNA(VLOOKUP($A$1,'Retro Pay'!$A$5:$AG$51,30,FALSE))=TRUE,"DEPT not Found",VLOOKUP($A$1,'Retro Pay'!$A$5:$AG$51,30,FALSE))/1000)</f>
        <v>450.14229999999998</v>
      </c>
      <c r="K9" s="150">
        <f>IF(ISNA(VLOOKUP($A$1,'Retro Pay'!$A$5:$AG$51,31,FALSE))=TRUE,"DEPT not Found",VLOOKUP($A$1,'Retro Pay'!$A$5:$AG$51,31,FALSE))</f>
        <v>3.4503686777588687E-2</v>
      </c>
      <c r="L9" s="205">
        <f>(IF(ISNA(VLOOKUP($A$1,'Retro Pay'!$A$5:$AG$51,32,FALSE))=TRUE,"DEPT not Found",VLOOKUP($A$1,'Retro Pay'!$A$5:$AG$51,32,FALSE))/1000)</f>
        <v>363.77817000000005</v>
      </c>
      <c r="M9" s="151">
        <f>IF(ISNA(VLOOKUP($A$1,'Retro Pay'!$A$5:$AG$51,33,FALSE))=TRUE,"DEPT not Found",VLOOKUP($A$1,'Retro Pay'!$A$5:$AG$51,33,FALSE))</f>
        <v>2.7244676528528765E-2</v>
      </c>
    </row>
    <row r="10" spans="1:13" s="140" customFormat="1" ht="7.15" customHeight="1" x14ac:dyDescent="0.25">
      <c r="A10" s="173"/>
      <c r="B10" s="110"/>
      <c r="C10" s="144"/>
      <c r="D10" s="169"/>
      <c r="E10" s="147"/>
      <c r="F10" s="170"/>
      <c r="G10" s="147"/>
      <c r="H10" s="170"/>
      <c r="I10" s="147"/>
      <c r="J10" s="170"/>
      <c r="K10" s="147"/>
      <c r="L10" s="168"/>
      <c r="M10" s="148"/>
    </row>
    <row r="11" spans="1:13" s="140" customFormat="1" ht="15.75" x14ac:dyDescent="0.25">
      <c r="A11" s="157" t="s">
        <v>141</v>
      </c>
      <c r="B11" s="110"/>
      <c r="C11" s="144"/>
      <c r="D11" s="169"/>
      <c r="E11" s="147"/>
      <c r="F11" s="170"/>
      <c r="G11" s="147"/>
      <c r="H11" s="170"/>
      <c r="I11" s="147"/>
      <c r="J11" s="170"/>
      <c r="K11" s="147"/>
      <c r="L11" s="168"/>
      <c r="M11" s="148"/>
    </row>
    <row r="12" spans="1:13" s="140" customFormat="1" ht="18.75" customHeight="1" x14ac:dyDescent="0.25">
      <c r="A12" s="149" t="s">
        <v>100</v>
      </c>
      <c r="B12" s="110"/>
      <c r="C12" s="144"/>
      <c r="D12" s="406">
        <f>(IF(ISNA(VLOOKUP($A$1,'SP Retro Pay'!$A$5:$AB$51,2,FALSE))=TRUE,"DEPT not Found",VLOOKUP($A$1,'SP Retro Pay'!$A$5:$AB$51,2,FALSE))/1000)</f>
        <v>6137.7659999999996</v>
      </c>
      <c r="E12" s="407"/>
      <c r="F12" s="406">
        <f>(IF(ISNA(VLOOKUP($A$1,'SP Retro Pay'!$A$5:$AB$51,3,FALSE))=TRUE,"DEPT not Found",VLOOKUP($A$1,'SP Retro Pay'!$A$5:$AB$51,3,FALSE))/1000)</f>
        <v>5750.8609999999999</v>
      </c>
      <c r="G12" s="407"/>
      <c r="H12" s="406">
        <f>(IF(ISNA(VLOOKUP($A$1,'SP Retro Pay'!$A$5:$AB$51,4,FALSE))=TRUE,"DEPT not Found",VLOOKUP($A$1,'SP Retro Pay'!$A$5:$AB$51,4,FALSE))/1000)</f>
        <v>6135.5183699999734</v>
      </c>
      <c r="I12" s="407"/>
      <c r="J12" s="406">
        <f>(IF(ISNA(VLOOKUP($A$1,'SP Retro Pay'!$A$5:$AB$51,5,FALSE))=TRUE,"DEPT not Found",VLOOKUP($A$1,'SP Retro Pay'!$A$5:$AB$51,5,FALSE))/1000)</f>
        <v>5708.0775299999932</v>
      </c>
      <c r="K12" s="407"/>
      <c r="L12" s="408">
        <f>(IF(ISNA(VLOOKUP($A$1,'SP Retro Pay'!$A$5:$AB$51,6,FALSE))=TRUE,"DEPT not Found",VLOOKUP($A$1,'SP Retro Pay'!$A$5:$AB$51,6,FALSE))/1000)</f>
        <v>5263.1038199999894</v>
      </c>
      <c r="M12" s="417"/>
    </row>
    <row r="13" spans="1:13" s="140" customFormat="1" ht="15.75" x14ac:dyDescent="0.25">
      <c r="A13" s="149" t="s">
        <v>167</v>
      </c>
      <c r="B13" s="110"/>
      <c r="C13" s="144"/>
      <c r="D13" s="206">
        <f>(IF(ISNA(VLOOKUP($A$1,'SP Retro Pay'!$A$5:$AB$51,8,FALSE))=TRUE,"DEPT not Found",VLOOKUP($A$1,'SP Retro Pay'!$A$5:$AB$51,8,FALSE))/1000)</f>
        <v>527.83454000000006</v>
      </c>
      <c r="E13" s="171">
        <f>IF(ISNA(VLOOKUP($A$1,'SP Retro Pay'!$A$5:$AB$51,9,FALSE))=TRUE,"DEPT not Found",VLOOKUP($A$1,'SP Retro Pay'!$A$5:$AB$51,9,FALSE))</f>
        <v>8.5997827222478021E-2</v>
      </c>
      <c r="F13" s="206">
        <f>(IF(ISNA(VLOOKUP($A$1,'SP Retro Pay'!$A$5:$AB$51,10,FALSE))=TRUE,"DEPT not Found",VLOOKUP($A$1,'SP Retro Pay'!$A$5:$AB$51,10,FALSE))/1000)</f>
        <v>424.78914000000003</v>
      </c>
      <c r="G13" s="171">
        <f>IF(ISNA(VLOOKUP($A$1,'SP Retro Pay'!$A$5:$AB$51,11,FALSE))=TRUE,"DEPT not Found",VLOOKUP($A$1,'SP Retro Pay'!$A$5:$AB$51,11,FALSE))</f>
        <v>7.3865311646377829E-2</v>
      </c>
      <c r="H13" s="206">
        <f>(IF(ISNA(VLOOKUP($A$1,'SP Retro Pay'!$A$5:$AB$51,12,FALSE))=TRUE,"DEPT not Found",VLOOKUP($A$1,'SP Retro Pay'!$A$5:$AB$51,12,FALSE))/1000)</f>
        <v>758.32914000000028</v>
      </c>
      <c r="I13" s="171">
        <f>IF(ISNA(VLOOKUP($A$1,'SP Retro Pay'!$A$5:$AB$51,13,FALSE))=TRUE,"DEPT not Found",VLOOKUP($A$1,'SP Retro Pay'!$A$5:$AB$51,13,FALSE))</f>
        <v>0.12359658862858292</v>
      </c>
      <c r="J13" s="206">
        <f>(IF(ISNA(VLOOKUP($A$1,'SP Retro Pay'!$A$5:$AB$51,14,FALSE))=TRUE,"DEPT not Found",VLOOKUP($A$1,'SP Retro Pay'!$A$5:$AB$51,14,FALSE))/1000)</f>
        <v>645.94058000000018</v>
      </c>
      <c r="K13" s="171">
        <f>IF(ISNA(VLOOKUP($A$1,'SP Retro Pay'!$A$5:$AB$51,15,FALSE))=TRUE,"DEPT not Found",VLOOKUP($A$1,'SP Retro Pay'!$A$5:$AB$51,15,FALSE))</f>
        <v>0.11316254493831324</v>
      </c>
      <c r="L13" s="206">
        <f>(IF(ISNA(VLOOKUP($A$1,'SP Retro Pay'!$A$5:$AB$51,16,FALSE))=TRUE,"DEPT not Found",VLOOKUP($A$1,'SP Retro Pay'!$A$5:$AB$51,16,FALSE))/1000)</f>
        <v>674.19994999999983</v>
      </c>
      <c r="M13" s="172">
        <f>IF(ISNA(VLOOKUP($A$1,'SP Retro Pay'!$A$5:$AB$51,17,FALSE))=TRUE,"DEPT not Found",VLOOKUP($A$1,'SP Retro Pay'!$A$5:$AB$51,17,FALSE))</f>
        <v>0.12809930661789629</v>
      </c>
    </row>
    <row r="14" spans="1:13" s="140" customFormat="1" ht="15.75" x14ac:dyDescent="0.25">
      <c r="A14" s="149" t="s">
        <v>168</v>
      </c>
      <c r="B14" s="110"/>
      <c r="C14" s="144"/>
      <c r="D14" s="206">
        <f>(IF(ISNA(VLOOKUP($A$1,'SP Retro Pay'!$A$5:$AB$51,19,FALSE))=TRUE,"DEPT not Found",VLOOKUP($A$1,'SP Retro Pay'!$A$5:$AB$51,19,FALSE))/1000)</f>
        <v>12.000849999999998</v>
      </c>
      <c r="E14" s="171">
        <f>IF(ISNA(VLOOKUP($A$1,'SP Retro Pay'!$A$5:$AB$51,20,FALSE))=TRUE,"DEPT not Found",VLOOKUP($A$1,'SP Retro Pay'!$A$5:$AB$51,20,FALSE))</f>
        <v>1.9552472349059899E-3</v>
      </c>
      <c r="F14" s="206">
        <f>(IF(ISNA(VLOOKUP($A$1,'SP Retro Pay'!$A$5:$AB$51,21,FALSE))=TRUE,"DEPT not Found",VLOOKUP($A$1,'SP Retro Pay'!$A$5:$AB$51,21,FALSE))/1000)</f>
        <v>17.659790000000001</v>
      </c>
      <c r="G14" s="171">
        <f>IF(ISNA(VLOOKUP($A$1,'SP Retro Pay'!$A$5:$AB$51,22,FALSE))=TRUE,"DEPT not Found",VLOOKUP($A$1,'SP Retro Pay'!$A$5:$AB$51,22,FALSE))</f>
        <v>3.0708080059664109E-3</v>
      </c>
      <c r="H14" s="206">
        <f>(IF(ISNA(VLOOKUP($A$1,'SP Retro Pay'!$A$5:$AB$51,23,FALSE))=TRUE,"DEPT not Found",VLOOKUP($A$1,'SP Retro Pay'!$A$5:$AB$51,23,FALSE))/1000)</f>
        <v>40.518339999999995</v>
      </c>
      <c r="I14" s="171">
        <f>IF(ISNA(VLOOKUP($A$1,'SP Retro Pay'!$A$5:$AB$51,24,FALSE))=TRUE,"DEPT not Found",VLOOKUP($A$1,'SP Retro Pay'!$A$5:$AB$51,24,FALSE))</f>
        <v>6.6038984086686341E-3</v>
      </c>
      <c r="J14" s="206">
        <f>(IF(ISNA(VLOOKUP($A$1,'SP Retro Pay'!$A$5:$AB$51,25,FALSE))=TRUE,"DEPT not Found",VLOOKUP($A$1,'SP Retro Pay'!$A$5:$AB$51,25,FALSE))/1000)</f>
        <v>97.517179999999996</v>
      </c>
      <c r="K14" s="171">
        <f>IF(ISNA(VLOOKUP($A$1,'SP Retro Pay'!$A$5:$AB$51,26,FALSE))=TRUE,"DEPT not Found",VLOOKUP($A$1,'SP Retro Pay'!$A$5:$AB$51,26,FALSE))</f>
        <v>1.708406718154722E-2</v>
      </c>
      <c r="L14" s="206">
        <f>(IF(ISNA(VLOOKUP($A$1,'SP Retro Pay'!$A$5:$AB$51,27,FALSE))=TRUE,"DEPT not Found",VLOOKUP($A$1,'SP Retro Pay'!$A$5:$AB$51,27,FALSE))/1000)</f>
        <v>70.930460000000011</v>
      </c>
      <c r="M14" s="172">
        <f>IF(ISNA(VLOOKUP($A$1,'SP Retro Pay'!$A$5:$AB$51,28,FALSE))=TRUE,"DEPT not Found",VLOOKUP($A$1,'SP Retro Pay'!$A$5:$AB$51,28,FALSE))</f>
        <v>1.3476925864631747E-2</v>
      </c>
    </row>
    <row r="15" spans="1:13" s="140" customFormat="1" ht="7.15" customHeight="1" x14ac:dyDescent="0.25">
      <c r="A15" s="173"/>
      <c r="B15" s="110"/>
      <c r="C15" s="144"/>
      <c r="D15" s="169"/>
      <c r="E15" s="147"/>
      <c r="F15" s="170"/>
      <c r="G15" s="147"/>
      <c r="H15" s="170"/>
      <c r="I15" s="147"/>
      <c r="J15" s="170"/>
      <c r="K15" s="147"/>
      <c r="L15" s="168"/>
      <c r="M15" s="148"/>
    </row>
    <row r="16" spans="1:13" s="140" customFormat="1" ht="15.75" x14ac:dyDescent="0.25">
      <c r="A16" s="157" t="s">
        <v>107</v>
      </c>
      <c r="B16" s="110"/>
      <c r="C16" s="144"/>
      <c r="D16" s="213"/>
      <c r="E16" s="171"/>
      <c r="F16" s="213"/>
      <c r="G16" s="171"/>
      <c r="H16" s="213"/>
      <c r="I16" s="171"/>
      <c r="J16" s="213"/>
      <c r="K16" s="171"/>
      <c r="L16" s="213"/>
      <c r="M16" s="172"/>
    </row>
    <row r="17" spans="1:13" s="140" customFormat="1" ht="15.75" x14ac:dyDescent="0.25">
      <c r="A17" s="201" t="s">
        <v>189</v>
      </c>
      <c r="B17" s="158"/>
      <c r="C17" s="159"/>
      <c r="D17" s="176">
        <f>IF(ISNA(VLOOKUP($A$1,'Effort Cert'!$A$5:$P$51,2,FALSE))=TRUE,"DEPT not Found",VLOOKUP($A$1,'Effort Cert'!$A$5:$P$51,2,FALSE))</f>
        <v>109</v>
      </c>
      <c r="E17" s="171"/>
      <c r="F17" s="176">
        <f>IF(ISNA(VLOOKUP($A$1,'Effort Cert'!$A$5:$P$51,5,FALSE))=TRUE,"DEPT not Found",VLOOKUP($A$1,'Effort Cert'!$A$5:$P$51,5,FALSE))</f>
        <v>104</v>
      </c>
      <c r="G17" s="171"/>
      <c r="H17" s="176">
        <f>IF(ISNA(VLOOKUP($A$1,'Effort Cert'!$A$5:$P$51,8,FALSE))=TRUE,"DEPT not Found",VLOOKUP($A$1,'Effort Cert'!$A$5:$P$51,8,FALSE))</f>
        <v>117</v>
      </c>
      <c r="I17" s="171"/>
      <c r="J17" s="176">
        <f>IF(ISNA(VLOOKUP($A$1,'Effort Cert'!$A$5:$P$51,11,FALSE))=TRUE,"DEPT not Found",VLOOKUP($A$1,'Effort Cert'!$A$5:$P$51,11,FALSE))</f>
        <v>124</v>
      </c>
      <c r="K17" s="171"/>
      <c r="L17" s="176">
        <f>IF(ISNA(VLOOKUP($A$1,'Effort Cert'!$A$5:$P$51,14,FALSE))=TRUE,"DEPT not Found",VLOOKUP($A$1,'Effort Cert'!$A$5:$P$51,14,FALSE))</f>
        <v>101</v>
      </c>
      <c r="M17" s="172"/>
    </row>
    <row r="18" spans="1:13" s="140" customFormat="1" ht="15.75" x14ac:dyDescent="0.25">
      <c r="A18" s="149" t="s">
        <v>190</v>
      </c>
      <c r="B18" s="153"/>
      <c r="C18" s="195"/>
      <c r="D18" s="176">
        <f>IF(ISNA(VLOOKUP($A$1,'Effort Cert'!$A$5:$P$51,3,FALSE))=TRUE,"DEPT not Found",VLOOKUP($A$1,'Effort Cert'!$A$5:$P$51,3,FALSE))</f>
        <v>106</v>
      </c>
      <c r="E18" s="171">
        <f>IF(ISNA(VLOOKUP($A$1,'Effort Cert'!$A$5:$P$51,4,FALSE))=TRUE,"DEPT not Found",VLOOKUP($A$1,'Effort Cert'!$A$5:$P$51,4,FALSE))</f>
        <v>0.97247706422018354</v>
      </c>
      <c r="F18" s="176">
        <f>IF(ISNA(VLOOKUP($A$1,'Effort Cert'!$A$5:$P$51,6,FALSE))=TRUE,"DEPT not Found",VLOOKUP($A$1,'Effort Cert'!$A$5:$P$51,6,FALSE))</f>
        <v>98</v>
      </c>
      <c r="G18" s="171">
        <f>IF(ISNA(VLOOKUP($A$1,'Effort Cert'!$A$5:$P$51,7,FALSE))=TRUE,"DEPT not Found",VLOOKUP($A$1,'Effort Cert'!$A$5:$P$51,7,FALSE))</f>
        <v>0.94230769230769229</v>
      </c>
      <c r="H18" s="176">
        <f>IF(ISNA(VLOOKUP($A$1,'Effort Cert'!$A$5:$P$51,9,FALSE))=TRUE,"DEPT not Found",VLOOKUP($A$1,'Effort Cert'!$A$5:$P$51,9,FALSE))</f>
        <v>102</v>
      </c>
      <c r="I18" s="171">
        <f>IF(ISNA(VLOOKUP($A$1,'Effort Cert'!$A$5:$P$51,10,FALSE))=TRUE,"DEPT not Found",VLOOKUP($A$1,'Effort Cert'!$A$5:$P$51,10,FALSE))</f>
        <v>0.87179487179487181</v>
      </c>
      <c r="J18" s="176">
        <f>IF(ISNA(VLOOKUP($A$1,'Effort Cert'!$A$5:$P$51,12,FALSE))=TRUE,"DEPT not Found",VLOOKUP($A$1,'Effort Cert'!$A$5:$P$51,12,FALSE))</f>
        <v>123</v>
      </c>
      <c r="K18" s="171">
        <f>IF(ISNA(VLOOKUP($A$1,'Effort Cert'!$A$5:$P$51,13,FALSE))=TRUE,"DEPT not Found",VLOOKUP($A$1,'Effort Cert'!$A$5:$P$51,13,FALSE))</f>
        <v>0.99193548387096775</v>
      </c>
      <c r="L18" s="176">
        <f>IF(ISNA(VLOOKUP($A$1,'Effort Cert'!$A$5:$P$51,15,FALSE))=TRUE,"DEPT not Found",VLOOKUP($A$1,'Effort Cert'!$A$5:$P$51,15,FALSE))</f>
        <v>99</v>
      </c>
      <c r="M18" s="172">
        <f>IF(ISNA(VLOOKUP($A$1,'Effort Cert'!$A$5:$P$51,16,FALSE))=TRUE,"DEPT not Found",VLOOKUP($A$1,'Effort Cert'!$A$5:$P$51,16,FALSE))</f>
        <v>0.98019801980198018</v>
      </c>
    </row>
    <row r="19" spans="1:13" s="140" customFormat="1" ht="7.15" customHeight="1" thickBot="1" x14ac:dyDescent="0.3">
      <c r="A19" s="164"/>
      <c r="B19" s="165"/>
      <c r="C19" s="165"/>
      <c r="D19" s="165"/>
      <c r="E19" s="165"/>
      <c r="F19" s="165"/>
      <c r="G19" s="165"/>
      <c r="H19" s="165"/>
      <c r="I19" s="165"/>
      <c r="J19" s="165"/>
      <c r="K19" s="165"/>
      <c r="L19" s="165"/>
      <c r="M19" s="166"/>
    </row>
    <row r="20" spans="1:13" s="140" customFormat="1" ht="15.75" x14ac:dyDescent="0.25"/>
    <row r="21" spans="1:13" s="140" customFormat="1" ht="16.5" thickBot="1" x14ac:dyDescent="0.3"/>
    <row r="22" spans="1:13" s="140" customFormat="1" ht="18.75" x14ac:dyDescent="0.3">
      <c r="A22" s="403" t="s">
        <v>212</v>
      </c>
      <c r="B22" s="404"/>
      <c r="C22" s="404"/>
      <c r="D22" s="404"/>
      <c r="E22" s="404"/>
      <c r="F22" s="404"/>
      <c r="G22" s="404"/>
      <c r="H22" s="404"/>
      <c r="I22" s="404"/>
      <c r="J22" s="404"/>
      <c r="K22" s="404"/>
      <c r="L22" s="404"/>
      <c r="M22" s="405"/>
    </row>
    <row r="23" spans="1:13" s="140" customFormat="1" ht="15.75" x14ac:dyDescent="0.25">
      <c r="A23" s="141"/>
      <c r="B23" s="401" t="s">
        <v>55</v>
      </c>
      <c r="C23" s="401"/>
      <c r="D23" s="401" t="s">
        <v>54</v>
      </c>
      <c r="E23" s="401"/>
      <c r="F23" s="401" t="s">
        <v>53</v>
      </c>
      <c r="G23" s="401"/>
      <c r="H23" s="401" t="s">
        <v>56</v>
      </c>
      <c r="I23" s="401"/>
      <c r="J23" s="401" t="s">
        <v>206</v>
      </c>
      <c r="K23" s="401"/>
      <c r="L23" s="401" t="s">
        <v>207</v>
      </c>
      <c r="M23" s="402"/>
    </row>
    <row r="24" spans="1:13" s="140" customFormat="1" ht="15" customHeight="1" x14ac:dyDescent="0.25">
      <c r="A24" s="174" t="s">
        <v>210</v>
      </c>
      <c r="B24" s="168"/>
      <c r="C24" s="147"/>
      <c r="D24" s="170"/>
      <c r="E24" s="147"/>
      <c r="F24" s="170"/>
      <c r="G24" s="147"/>
      <c r="H24" s="170"/>
      <c r="I24" s="147"/>
      <c r="J24" s="170"/>
      <c r="K24" s="147"/>
      <c r="L24" s="168"/>
      <c r="M24" s="148"/>
    </row>
    <row r="25" spans="1:13" s="140" customFormat="1" ht="15.75" x14ac:dyDescent="0.25">
      <c r="A25" s="149" t="s">
        <v>165</v>
      </c>
      <c r="B25" s="146">
        <f>IF(ISNA(VLOOKUP($A$1,'Cash Handling'!$A$5:$BB$51,2,FALSE))=TRUE,"DEPT not Found",VLOOKUP($A$1,'Cash Handling'!$A$5:$BB$51,2,FALSE))</f>
        <v>1</v>
      </c>
      <c r="C25" s="175"/>
      <c r="D25" s="176">
        <f>IF(ISNA(VLOOKUP($A$1,'Cash Handling'!$A$5:$BB$51,5,FALSE))=TRUE,"DEPT not Found",VLOOKUP($A$1,'Cash Handling'!$A$5:$BB$51,5,FALSE))</f>
        <v>1</v>
      </c>
      <c r="E25" s="175"/>
      <c r="F25" s="146">
        <f>IF(ISNA(VLOOKUP($A$1,'Cash Handling'!$A$5:$BB$51,8,FALSE))=TRUE,"DEPT not Found",VLOOKUP($A$1,'Cash Handling'!$A$5:$BB$51,8,FALSE))</f>
        <v>1</v>
      </c>
      <c r="G25" s="175"/>
      <c r="H25" s="146">
        <f>IF(ISNA(VLOOKUP($A$1,'Cash Handling'!$A$5:$BB$51,11,FALSE))=TRUE,"DEPT not Found",VLOOKUP($A$1,'Cash Handling'!$A$5:$BB$51,11,FALSE))</f>
        <v>2</v>
      </c>
      <c r="I25" s="175"/>
      <c r="J25" s="146">
        <f>IF(ISNA(VLOOKUP($A$1,'Cash Handling'!$A$5:$BB$51,14,FALSE))=TRUE,"DEPT not Found",VLOOKUP($A$1,'Cash Handling'!$A$5:$BB$51,14,FALSE))</f>
        <v>1</v>
      </c>
      <c r="K25" s="175"/>
      <c r="L25" s="146">
        <f>IF(ISNA(VLOOKUP($A$1,'Cash Handling'!$A$5:$BB$51,17,FALSE))=TRUE,"DEPT not Found",VLOOKUP($A$1,'Cash Handling'!$A$5:$BB$51,17,FALSE))</f>
        <v>1</v>
      </c>
      <c r="M25" s="177"/>
    </row>
    <row r="26" spans="1:13" s="140" customFormat="1" ht="15.75" x14ac:dyDescent="0.25">
      <c r="A26" s="149" t="s">
        <v>61</v>
      </c>
      <c r="B26" s="146">
        <f>IF(ISNA(VLOOKUP($A$1,'Cash Handling'!$A$5:$BB$51,3,FALSE))=TRUE,"DEPT not Found",VLOOKUP($A$1,'Cash Handling'!$A$5:$BB$51,3,FALSE))</f>
        <v>40</v>
      </c>
      <c r="C26" s="207">
        <f>(IF(ISNA(VLOOKUP($A$1,'Cash Handling'!$A$5:$BB$51,4,FALSE))=TRUE,"DEPT not Found",VLOOKUP($A$1,'Cash Handling'!$A$5:$BB$51,4,FALSE)))/1000</f>
        <v>105.11275999999999</v>
      </c>
      <c r="D26" s="176">
        <f>IF(ISNA(VLOOKUP($A$1,'Cash Handling'!$A$5:$BB$51,6,FALSE))=TRUE,"DEPT not Found",VLOOKUP($A$1,'Cash Handling'!$A$5:$BB$51,6,FALSE))</f>
        <v>36</v>
      </c>
      <c r="E26" s="207">
        <f>(IF(ISNA(VLOOKUP($A$1,'Cash Handling'!$A$5:$BB$51,7,FALSE))=TRUE,"DEPT not Found",VLOOKUP($A$1,'Cash Handling'!$A$5:$BB$51,7,FALSE)))/1000</f>
        <v>119.96589</v>
      </c>
      <c r="F26" s="146">
        <f>IF(ISNA(VLOOKUP($A$1,'Cash Handling'!$A$5:$BB$51,9,FALSE))=TRUE,"DEPT not Found",VLOOKUP($A$1,'Cash Handling'!$A$5:$BB$51,9,FALSE))</f>
        <v>43</v>
      </c>
      <c r="G26" s="207">
        <f>(IF(ISNA(VLOOKUP($A$1,'Cash Handling'!$A$5:$BB$51,10,FALSE))=TRUE,"DEPT not Found",VLOOKUP($A$1,'Cash Handling'!$A$5:$BB$51,10,FALSE)))/1000</f>
        <v>1864.85475</v>
      </c>
      <c r="H26" s="146">
        <f>IF(ISNA(VLOOKUP($A$1,'Cash Handling'!$A$5:$BB$51,12,FALSE))=TRUE,"DEPT not Found",VLOOKUP($A$1,'Cash Handling'!$A$5:$BB$51,12,FALSE))</f>
        <v>49</v>
      </c>
      <c r="I26" s="207">
        <f>(IF(ISNA(VLOOKUP($A$1,'Cash Handling'!$A$5:$BB$51,13,FALSE))=TRUE,"DEPT not Found",VLOOKUP($A$1,'Cash Handling'!$A$5:$BB$51,13,FALSE)))/1000</f>
        <v>251.803</v>
      </c>
      <c r="J26" s="146">
        <f>IF(ISNA(VLOOKUP($A$1,'Cash Handling'!$A$5:$BB$51,15,FALSE))=TRUE,"DEPT not Found",VLOOKUP($A$1,'Cash Handling'!$A$5:$BB$51,15,FALSE))</f>
        <v>40</v>
      </c>
      <c r="K26" s="207">
        <f>(IF(ISNA(VLOOKUP($A$1,'Cash Handling'!$A$5:$BB$51,16,FALSE))=TRUE,"DEPT not Found",VLOOKUP($A$1,'Cash Handling'!$A$5:$BB$51,16,FALSE)))/1000</f>
        <v>117.73008</v>
      </c>
      <c r="L26" s="146">
        <f>IF(ISNA(VLOOKUP($A$1,'Cash Handling'!$A$5:$BB$51,18,FALSE))=TRUE,"DEPT not Found",VLOOKUP($A$1,'Cash Handling'!$A$5:$BB$51,18,FALSE))</f>
        <v>32</v>
      </c>
      <c r="M26" s="208">
        <f>(IF(ISNA(VLOOKUP($A$1,'Cash Handling'!$A$5:$BB$51,19,FALSE))=TRUE,"DEPT not Found",VLOOKUP($A$1,'Cash Handling'!$A$5:$BB$51,19,FALSE)))/1000</f>
        <v>46.104099999999995</v>
      </c>
    </row>
    <row r="27" spans="1:13" s="140" customFormat="1" ht="15.75" customHeight="1" x14ac:dyDescent="0.25">
      <c r="A27" s="149" t="s">
        <v>175</v>
      </c>
      <c r="B27" s="178"/>
      <c r="C27" s="179"/>
      <c r="D27" s="176">
        <f>IF(ISNA(VLOOKUP($A$1,'Cash Handling'!$A$5:$BB$51,21,FALSE))=TRUE,"DEPT not Found",VLOOKUP($A$1,'Cash Handling'!$A$5:$BB$51,21,FALSE))</f>
        <v>2</v>
      </c>
      <c r="E27" s="175"/>
      <c r="F27" s="180"/>
      <c r="G27" s="181"/>
      <c r="H27" s="176">
        <f>IF(ISNA(VLOOKUP($A$1,'Cash Handling'!$A$5:$BB$51,24,FALSE))=TRUE,"DEPT not Found",VLOOKUP($A$1,'Cash Handling'!$A$5:$BB$51,24,FALSE))</f>
        <v>4</v>
      </c>
      <c r="I27" s="175"/>
      <c r="J27" s="176">
        <f>IF(ISNA(VLOOKUP($A$1,'Cash Handling'!$A$5:$BB$51,27,FALSE))=TRUE,"DEPT not Found",VLOOKUP($A$1,'Cash Handling'!$A$5:$BB$51,27,FALSE))</f>
        <v>4</v>
      </c>
      <c r="K27" s="175"/>
      <c r="L27" s="176">
        <f>IF(ISNA(VLOOKUP($A$1,'Cash Handling'!$A$5:$AF$51,30,FALSE))=TRUE,"DEPT not Found",VLOOKUP($A$1,'Cash Handling'!$A$5:$AF$51,30,FALSE))</f>
        <v>3</v>
      </c>
      <c r="M27" s="177"/>
    </row>
    <row r="28" spans="1:13" s="140" customFormat="1" ht="15.75" x14ac:dyDescent="0.25">
      <c r="A28" s="149" t="s">
        <v>108</v>
      </c>
      <c r="B28" s="178"/>
      <c r="C28" s="179"/>
      <c r="D28" s="176">
        <f>IF(ISNA(VLOOKUP($A$1,'Cash Handling'!$A$5:$BB$51,22,FALSE))=TRUE,"DEPT not Found",VLOOKUP($A$1,'Cash Handling'!$A$5:$BB$51,22,FALSE))</f>
        <v>2</v>
      </c>
      <c r="E28" s="150">
        <f>IF(ISNA(VLOOKUP($A$1,'Cash Handling'!$A$5:$BB$51,23,FALSE))=TRUE,"DEPT not Found",VLOOKUP($A$1,'Cash Handling'!$A$5:$BB$51,23,FALSE))</f>
        <v>1</v>
      </c>
      <c r="F28" s="180"/>
      <c r="G28" s="182"/>
      <c r="H28" s="176">
        <f>IF(ISNA(VLOOKUP($A$1,'Cash Handling'!$A$5:$BB$51,25,FALSE))=TRUE,"DEPT not Found",VLOOKUP($A$1,'Cash Handling'!$A$5:$BB$51,25,FALSE))</f>
        <v>3</v>
      </c>
      <c r="I28" s="150">
        <f>IF(ISNA(VLOOKUP($A$1,'Cash Handling'!$A$5:$BB$51,26,FALSE))=TRUE,"DEPT not Found",VLOOKUP($A$1,'Cash Handling'!$A$5:$BB$51,26,FALSE))</f>
        <v>0.75</v>
      </c>
      <c r="J28" s="176">
        <f>IF(ISNA(VLOOKUP($A$1,'Cash Handling'!$A$5:$BB$51,28,FALSE))=TRUE,"DEPT not Found",VLOOKUP($A$1,'Cash Handling'!$A$5:$BB$51,28,FALSE))</f>
        <v>3</v>
      </c>
      <c r="K28" s="150">
        <f>IF(ISNA(VLOOKUP($A$1,'Cash Handling'!$A$5:$BB$51,29,FALSE))=TRUE,"DEPT not Found",VLOOKUP($A$1,'Cash Handling'!$A$5:$BB$51,29,FALSE))</f>
        <v>0.75</v>
      </c>
      <c r="L28" s="176">
        <f>IF(ISNA(VLOOKUP($A$1,'Cash Handling'!$A$5:$AF$51,31,FALSE))=TRUE,"DEPT not Found",VLOOKUP($A$1,'Cash Handling'!$A$5:$AF$51,31,FALSE))</f>
        <v>2</v>
      </c>
      <c r="M28" s="151">
        <f>IF(ISNA(VLOOKUP($A$1,'Cash Handling'!$A$5:$AF$51,32,FALSE))=TRUE,"DEPT not Found",VLOOKUP($A$1,'Cash Handling'!$A$5:$AF$51,32,FALSE))</f>
        <v>0.66666666666666663</v>
      </c>
    </row>
    <row r="29" spans="1:13" s="140" customFormat="1" ht="7.15" customHeight="1" x14ac:dyDescent="0.25">
      <c r="A29" s="183"/>
      <c r="B29" s="178"/>
      <c r="C29" s="179"/>
      <c r="D29" s="184"/>
      <c r="E29" s="171"/>
      <c r="F29" s="184"/>
      <c r="G29" s="171"/>
      <c r="H29" s="184"/>
      <c r="I29" s="171"/>
      <c r="J29" s="184"/>
      <c r="K29" s="171"/>
      <c r="L29" s="185"/>
      <c r="M29" s="148"/>
    </row>
    <row r="30" spans="1:13" s="140" customFormat="1" ht="15.75" x14ac:dyDescent="0.25">
      <c r="A30" s="186" t="s">
        <v>211</v>
      </c>
      <c r="B30" s="187"/>
      <c r="C30" s="188"/>
      <c r="D30" s="189"/>
      <c r="E30" s="190"/>
      <c r="F30" s="191"/>
      <c r="G30" s="190"/>
      <c r="H30" s="191"/>
      <c r="I30" s="190"/>
      <c r="J30" s="191"/>
      <c r="K30" s="190"/>
      <c r="L30" s="192"/>
      <c r="M30" s="148"/>
    </row>
    <row r="31" spans="1:13" s="140" customFormat="1" ht="15.75" x14ac:dyDescent="0.25">
      <c r="A31" s="149" t="s">
        <v>166</v>
      </c>
      <c r="B31" s="146">
        <f>IF(ISNA(VLOOKUP($A$1,'Credit Card'!$A$5:$BA$51,2,FALSE))=TRUE,"DEPT not Found",VLOOKUP($A$1,'Credit Card'!$A$5:$BA$51,2,FALSE))</f>
        <v>0</v>
      </c>
      <c r="C31" s="175"/>
      <c r="D31" s="176">
        <f>IF(ISNA(VLOOKUP($A$1,'Credit Card'!$A$5:$BA$51,5,FALSE))=TRUE,"DEPT not Found",VLOOKUP($A$1,'Credit Card'!$A$5:$BA$51,5,FALSE))</f>
        <v>0</v>
      </c>
      <c r="E31" s="175"/>
      <c r="F31" s="146">
        <f>IF(ISNA(VLOOKUP($A$1,'Credit Card'!$A$5:$BA$51,8,FALSE))=TRUE,"DEPT not Found",VLOOKUP($A$1,'Credit Card'!$A$5:$BA$51,8,FALSE))</f>
        <v>0</v>
      </c>
      <c r="G31" s="175"/>
      <c r="H31" s="146">
        <f>IF(ISNA(VLOOKUP($A$1,'Credit Card'!$A$5:$BA$51,11,FALSE))=TRUE,"DEPT not Found",VLOOKUP($A$1,'Credit Card'!$A$5:$BA$51,11,FALSE))</f>
        <v>0</v>
      </c>
      <c r="I31" s="175"/>
      <c r="J31" s="146">
        <f>IF(ISNA(VLOOKUP($A$1,'Credit Card'!$A$5:$BA$51,14,FALSE))=TRUE,"DEPT not Found",VLOOKUP($A$1,'Credit Card'!$A$5:$BA$51,14,FALSE))</f>
        <v>0</v>
      </c>
      <c r="K31" s="175"/>
      <c r="L31" s="146" t="str">
        <f>IF(ISNA(VLOOKUP($A$1,'Credit Card'!$A$5:$BA$51,17,FALSE))=TRUE,"DEPT not Found",VLOOKUP($A$1,'Credit Card'!$A$5:$BA$51,17,FALSE))</f>
        <v>n/a</v>
      </c>
      <c r="M31" s="177"/>
    </row>
    <row r="32" spans="1:13" s="140" customFormat="1" ht="15.75" x14ac:dyDescent="0.25">
      <c r="A32" s="149" t="s">
        <v>162</v>
      </c>
      <c r="B32" s="146">
        <f>IF(ISNA(VLOOKUP($A$1,'Credit Card'!$A$5:$BA$51,3,FALSE))=TRUE,"DEPT not Found",VLOOKUP($A$1,'Credit Card'!$A$5:$BA$51,3,FALSE))</f>
        <v>0</v>
      </c>
      <c r="C32" s="171">
        <f>IF(ISNA(VLOOKUP($A$1,'Credit Card'!$A$5:$BA$51,4,FALSE))=TRUE,"DEPT not Found",VLOOKUP($A$1,'Credit Card'!$A$5:$BA$51,4,FALSE))</f>
        <v>0</v>
      </c>
      <c r="D32" s="176">
        <f>IF(ISNA(VLOOKUP($A$1,'Credit Card'!$A$5:$BA$51,6,FALSE))=TRUE,"DEPT not Found",VLOOKUP($A$1,'Credit Card'!$A$5:$BA$51,6,FALSE))</f>
        <v>0</v>
      </c>
      <c r="E32" s="171">
        <f>IF(ISNA(VLOOKUP($A$1,'Credit Card'!$A$5:$BA$51,7,FALSE))=TRUE,"DEPT not Found",VLOOKUP($A$1,'Credit Card'!$A$5:$BA$51,7,FALSE))</f>
        <v>0</v>
      </c>
      <c r="F32" s="146">
        <f>IF(ISNA(VLOOKUP($A$1,'Credit Card'!$A$5:$BA$51,9,FALSE))=TRUE,"DEPT not Found",VLOOKUP($A$1,'Credit Card'!$A$5:$BA$51,9,FALSE))</f>
        <v>0</v>
      </c>
      <c r="G32" s="171">
        <f>IF(ISNA(VLOOKUP($A$1,'Credit Card'!$A$5:$BA$51,10,FALSE))=TRUE,"DEPT not Found",VLOOKUP($A$1,'Credit Card'!$A$5:$BA$51,10,FALSE))</f>
        <v>0</v>
      </c>
      <c r="H32" s="146">
        <f>IF(ISNA(VLOOKUP($A$1,'Credit Card'!$A$5:$BA$51,12,FALSE))=TRUE,"DEPT not Found",VLOOKUP($A$1,'Credit Card'!$A$5:$BA$51,12,FALSE))</f>
        <v>0</v>
      </c>
      <c r="I32" s="171">
        <f>IF(ISNA(VLOOKUP($A$1,'Credit Card'!$A$5:$BA$51,13,FALSE))=TRUE,"DEPT not Found",VLOOKUP($A$1,'Credit Card'!$A$5:$BA$51,13,FALSE))</f>
        <v>0</v>
      </c>
      <c r="J32" s="146">
        <f>IF(ISNA(VLOOKUP($A$1,'Credit Card'!$A$5:$BA$51,15,FALSE))=TRUE,"DEPT not Found",VLOOKUP($A$1,'Credit Card'!$A$5:$BA$51,15,FALSE))</f>
        <v>0</v>
      </c>
      <c r="K32" s="171">
        <f>IF(ISNA(VLOOKUP($A$1,'Credit Card'!$A$5:$BA$51,16,FALSE))=TRUE,"DEPT not Found",VLOOKUP($A$1,'Credit Card'!$A$5:$BA$51,16,FALSE))</f>
        <v>0</v>
      </c>
      <c r="L32" s="146" t="str">
        <f>IF(ISNA(VLOOKUP($A$1,'Credit Card'!$A$5:$BA$51,18,FALSE))=TRUE,"DEPT not Found",VLOOKUP($A$1,'Credit Card'!$A$5:$BA$51,18,FALSE))</f>
        <v>n/a</v>
      </c>
      <c r="M32" s="172">
        <f>IF(ISNA(VLOOKUP($A$1,'Credit Card'!$A$5:$BA$51,19,FALSE))=TRUE,"DEPT not Found",VLOOKUP($A$1,'Credit Card'!$A$5:$BA$51,19,FALSE))</f>
        <v>0</v>
      </c>
    </row>
    <row r="33" spans="1:20" s="140" customFormat="1" ht="15.75" x14ac:dyDescent="0.25">
      <c r="A33" s="149" t="s">
        <v>217</v>
      </c>
      <c r="B33" s="193"/>
      <c r="C33" s="194"/>
      <c r="D33" s="176">
        <f>IF(ISNA(VLOOKUP($A$1,'Credit Card'!$A$5:$BA$51,21,FALSE))=TRUE,"DEPT not Found",VLOOKUP($A$1,'Credit Card'!$A$5:$BA$51,21,FALSE))</f>
        <v>0</v>
      </c>
      <c r="E33" s="209">
        <f>(IF(ISNA(VLOOKUP($A$1,'Credit Card'!$A$5:$BA$51,22,FALSE))=TRUE,"DEPT not Found",VLOOKUP($A$1,'Credit Card'!$A$5:$BA$51,22,FALSE))/1000)</f>
        <v>0</v>
      </c>
      <c r="F33" s="176">
        <f>IF(ISNA(VLOOKUP($A$1,'Credit Card'!$A$5:$BA$51,25,FALSE))=TRUE,"DEPT not Found",VLOOKUP($A$1,'Credit Card'!$A$5:$BA$51,25,FALSE))</f>
        <v>0</v>
      </c>
      <c r="G33" s="209">
        <f>(IF(ISNA(VLOOKUP($A$1,'Credit Card'!$A$5:$BA$51,26,FALSE))=TRUE,"DEPT not Found",VLOOKUP($A$1,'Credit Card'!$A$5:$BA$51,26,FALSE))/1000)</f>
        <v>0</v>
      </c>
      <c r="H33" s="176">
        <f>IF(ISNA(VLOOKUP($A$1,'Credit Card'!$A$5:$BA$51,29,FALSE))=TRUE,"DEPT not Found",VLOOKUP($A$1,'Credit Card'!$A$5:$BA$51,29,FALSE))</f>
        <v>0</v>
      </c>
      <c r="I33" s="209">
        <f>(IF(ISNA(VLOOKUP($A$1,'Credit Card'!$A$5:$BA$51,30,FALSE))=TRUE,"DEPT not Found",VLOOKUP($A$1,'Credit Card'!$A$5:$BA$51,30,FALSE))/1000)</f>
        <v>0</v>
      </c>
      <c r="J33" s="176">
        <f>IF(ISNA(VLOOKUP($A$1,'Credit Card'!$A$5:$BA$51,33,FALSE))=TRUE,"DEPT not Found",VLOOKUP($A$1,'Credit Card'!$A$5:$BA$51,33,FALSE))</f>
        <v>0</v>
      </c>
      <c r="K33" s="209">
        <f>(IF(ISNA(VLOOKUP($A$1,'Credit Card'!$A$5:$BA$51,34,FALSE))=TRUE,"DEPT not Found",VLOOKUP($A$1,'Credit Card'!$A$5:$BA$51,34,FALSE))/1000)</f>
        <v>0</v>
      </c>
      <c r="L33" s="176">
        <f>IF(ISNA(VLOOKUP($A$1,'Credit Card'!$A$5:$BA$51,37,FALSE))=TRUE,"DEPT not Found",VLOOKUP($A$1,'Credit Card'!$A$5:$BA$51,37,FALSE))</f>
        <v>0</v>
      </c>
      <c r="M33" s="210">
        <f>(IF(ISNA(VLOOKUP($A$1,'Credit Card'!$A$5:$BA$51,38,FALSE))=TRUE,"DEPT not Found",VLOOKUP($A$1,'Credit Card'!$A$5:$BA$51,38,FALSE))/1000)</f>
        <v>0</v>
      </c>
    </row>
    <row r="34" spans="1:20" s="140" customFormat="1" ht="15.75" x14ac:dyDescent="0.25">
      <c r="A34" s="149" t="s">
        <v>98</v>
      </c>
      <c r="B34" s="193"/>
      <c r="C34" s="194"/>
      <c r="D34" s="176">
        <f>IF(ISNA(VLOOKUP($A$1,'Credit Card'!$A$5:$BA$51,23,FALSE))=TRUE,"DEPT not Found",VLOOKUP($A$1,'Credit Card'!$A$5:$BA$51,23,FALSE))</f>
        <v>0</v>
      </c>
      <c r="E34" s="209">
        <f>(IF(ISNA(VLOOKUP($A$1,'Credit Card'!$A$5:$BA$51,24,FALSE))=TRUE,"DEPT not Found",VLOOKUP($A$1,'Credit Card'!$A$5:$BA$51,24,FALSE))/1000)</f>
        <v>0</v>
      </c>
      <c r="F34" s="176">
        <f>IF(ISNA(VLOOKUP($A$1,'Credit Card'!$A$5:$BA$51,27,FALSE))=TRUE,"DEPT not Found",VLOOKUP($A$1,'Credit Card'!$A$5:$BA$51,27,FALSE))</f>
        <v>0</v>
      </c>
      <c r="G34" s="209">
        <f>(IF(ISNA(VLOOKUP($A$1,'Credit Card'!$A$5:$BA$51,28,FALSE))=TRUE,"DEPT not Found",VLOOKUP($A$1,'Credit Card'!$A$5:$BA$51,28,FALSE))/1000)</f>
        <v>0</v>
      </c>
      <c r="H34" s="176">
        <f>IF(ISNA(VLOOKUP($A$1,'Credit Card'!$A$5:$BA$51,31,FALSE))=TRUE,"DEPT not Found",VLOOKUP($A$1,'Credit Card'!$A$5:$BA$51,31,FALSE))</f>
        <v>0</v>
      </c>
      <c r="I34" s="209">
        <f>(IF(ISNA(VLOOKUP($A$1,'Credit Card'!$A$5:$BA$51,32,FALSE))=TRUE,"DEPT not Found",VLOOKUP($A$1,'Credit Card'!$A$5:$BA$51,32,FALSE))/1000)</f>
        <v>0</v>
      </c>
      <c r="J34" s="176">
        <f>IF(ISNA(VLOOKUP($A$1,'Credit Card'!$A$5:$BA$51,35,FALSE))=TRUE,"DEPT not Found",VLOOKUP($A$1,'Credit Card'!$A$5:$BA$51,35,FALSE))</f>
        <v>0</v>
      </c>
      <c r="K34" s="209">
        <f>(IF(ISNA(VLOOKUP($A$1,'Credit Card'!$A$5:$BA$51,36,FALSE))=TRUE,"DEPT not Found",VLOOKUP($A$1,'Credit Card'!$A$5:$BA$51,36,FALSE))/1000)</f>
        <v>0</v>
      </c>
      <c r="L34" s="176">
        <f>IF(ISNA(VLOOKUP($A$1,'Credit Card'!$A$5:$BA$51,39,FALSE))=TRUE,"DEPT not Found",VLOOKUP($A$1,'Credit Card'!$A$5:$BA$51,39,FALSE))</f>
        <v>0</v>
      </c>
      <c r="M34" s="210">
        <f>(IF(ISNA(VLOOKUP($A$1,'Credit Card'!$A$5:$BA$51,40,FALSE))=TRUE,"DEPT not Found",VLOOKUP($A$1,'Credit Card'!$A$5:$BA$51,40,FALSE))/1000)</f>
        <v>0</v>
      </c>
    </row>
    <row r="35" spans="1:20" s="140" customFormat="1" ht="15.75" x14ac:dyDescent="0.25">
      <c r="A35" s="149" t="s">
        <v>180</v>
      </c>
      <c r="B35" s="193"/>
      <c r="C35" s="194"/>
      <c r="D35" s="176">
        <f>IF(ISNA(VLOOKUP($A$1,'Credit Card'!$A$5:$BA$51,42,FALSE))=TRUE,"DEPT not Found",VLOOKUP($A$1,'Credit Card'!$A$5:$BA$51,42,FALSE))</f>
        <v>0</v>
      </c>
      <c r="E35" s="175"/>
      <c r="F35" s="176"/>
      <c r="G35" s="195"/>
      <c r="H35" s="176">
        <f>IF(ISNA(VLOOKUP($A$1,'Credit Card'!$A$5:$BA$51,45,FALSE))=TRUE,"DEPT not Found",VLOOKUP($A$1,'Credit Card'!$A$5:$BA$51,45,FALSE))</f>
        <v>0</v>
      </c>
      <c r="I35" s="175"/>
      <c r="J35" s="176">
        <f>IF(ISNA(VLOOKUP($A$1,'Credit Card'!$A$5:$BA$51,48,FALSE))=TRUE,"DEPT not Found",VLOOKUP($A$1,'Credit Card'!$A$5:$BA$51,48,FALSE))</f>
        <v>0</v>
      </c>
      <c r="K35" s="175"/>
      <c r="L35" s="176">
        <f>IF(ISNA(VLOOKUP($A$1,'Credit Card'!$A$5:$BA$51,51,FALSE))=TRUE,"DEPT not Found",VLOOKUP($A$1,'Credit Card'!$A$5:$BA$51,51,FALSE))</f>
        <v>0</v>
      </c>
      <c r="M35" s="177"/>
    </row>
    <row r="36" spans="1:20" s="140" customFormat="1" ht="15.75" x14ac:dyDescent="0.25">
      <c r="A36" s="149" t="s">
        <v>218</v>
      </c>
      <c r="B36" s="193"/>
      <c r="C36" s="194"/>
      <c r="D36" s="176">
        <f>IF(ISNA(VLOOKUP($A$1,'Credit Card'!$A$5:$BA$51,43,FALSE))=TRUE,"DEPT not Found",VLOOKUP($A$1,'Credit Card'!$A$5:$BA$51,43,FALSE))</f>
        <v>0</v>
      </c>
      <c r="E36" s="150">
        <f>IF(ISNA(VLOOKUP($A$1,'Credit Card'!$A$5:$BA$51,44,FALSE))=TRUE,"DEPT not Found",VLOOKUP($A$1,'Credit Card'!$A$5:$BA$51,44,FALSE))</f>
        <v>0</v>
      </c>
      <c r="F36" s="176"/>
      <c r="G36" s="195"/>
      <c r="H36" s="176">
        <f>IF(ISNA(VLOOKUP($A$1,'Credit Card'!$A$5:$BA$51,46,FALSE))=TRUE,"DEPT not Found",VLOOKUP($A$1,'Credit Card'!$A$5:$BA$51,46,FALSE))</f>
        <v>0</v>
      </c>
      <c r="I36" s="150">
        <f>IF(ISNA(VLOOKUP($A$1,'Credit Card'!$A$5:$BA$51,47,FALSE))=TRUE,"DEPT not Found",VLOOKUP($A$1,'Credit Card'!$A$5:$BA$51,47,FALSE))</f>
        <v>0</v>
      </c>
      <c r="J36" s="176">
        <f>IF(ISNA(VLOOKUP($A$1,'Credit Card'!$A$5:$BA$51,49,FALSE))=TRUE,"DEPT not Found",VLOOKUP($A$1,'Credit Card'!$A$5:$BA$51,49,FALSE))</f>
        <v>0</v>
      </c>
      <c r="K36" s="150">
        <f>IF(ISNA(VLOOKUP($A$1,'Credit Card'!$A$5:$BA$51,50,FALSE))=TRUE,"DEPT not Found",VLOOKUP($A$1,'Credit Card'!$A$5:$BA$51,50,FALSE))</f>
        <v>0</v>
      </c>
      <c r="L36" s="176">
        <f>IF(ISNA(VLOOKUP($A$1,'Credit Card'!$A$5:$BA$51,52,FALSE))=TRUE,"DEPT not Found",VLOOKUP($A$1,'Credit Card'!$A$5:$BA$51,52,FALSE))</f>
        <v>0</v>
      </c>
      <c r="M36" s="151">
        <f>IF(ISNA(VLOOKUP($A$1,'Credit Card'!$A$5:$BA$51,53,FALSE))=TRUE,"DEPT not Found",VLOOKUP($A$1,'Credit Card'!$A$5:$BA$51,53,FALSE))</f>
        <v>0</v>
      </c>
    </row>
    <row r="37" spans="1:20" s="140" customFormat="1" ht="7.15" customHeight="1" thickBot="1" x14ac:dyDescent="0.3">
      <c r="A37" s="164"/>
      <c r="B37" s="165"/>
      <c r="C37" s="165"/>
      <c r="D37" s="196"/>
      <c r="E37" s="196"/>
      <c r="F37" s="196"/>
      <c r="G37" s="196"/>
      <c r="H37" s="196"/>
      <c r="I37" s="196"/>
      <c r="J37" s="196"/>
      <c r="K37" s="196"/>
      <c r="L37" s="196"/>
      <c r="M37" s="166"/>
    </row>
    <row r="38" spans="1:20" s="140" customFormat="1" ht="16.5" thickBot="1" x14ac:dyDescent="0.3">
      <c r="A38" s="167"/>
      <c r="B38" s="168"/>
      <c r="C38" s="168"/>
      <c r="D38" s="168"/>
      <c r="E38" s="168"/>
      <c r="F38" s="168"/>
      <c r="G38" s="168"/>
      <c r="H38" s="168"/>
      <c r="I38" s="168"/>
      <c r="J38" s="168"/>
      <c r="K38" s="168"/>
      <c r="L38" s="168"/>
      <c r="M38" s="168"/>
    </row>
    <row r="39" spans="1:20" s="140" customFormat="1" ht="18.75" x14ac:dyDescent="0.3">
      <c r="A39" s="403" t="s">
        <v>369</v>
      </c>
      <c r="B39" s="404"/>
      <c r="C39" s="404"/>
      <c r="D39" s="404"/>
      <c r="E39" s="404"/>
      <c r="F39" s="404"/>
      <c r="G39" s="404"/>
      <c r="H39" s="404"/>
      <c r="I39" s="404"/>
      <c r="J39" s="404"/>
      <c r="K39" s="404"/>
      <c r="L39" s="404"/>
      <c r="M39" s="405"/>
    </row>
    <row r="40" spans="1:20" s="140" customFormat="1" ht="15.75" x14ac:dyDescent="0.25">
      <c r="A40" s="141"/>
      <c r="B40" s="401" t="s">
        <v>55</v>
      </c>
      <c r="C40" s="401"/>
      <c r="D40" s="401" t="s">
        <v>54</v>
      </c>
      <c r="E40" s="401"/>
      <c r="F40" s="401" t="s">
        <v>53</v>
      </c>
      <c r="G40" s="401"/>
      <c r="H40" s="401" t="s">
        <v>56</v>
      </c>
      <c r="I40" s="401"/>
      <c r="J40" s="401" t="s">
        <v>206</v>
      </c>
      <c r="K40" s="401"/>
      <c r="L40" s="401" t="s">
        <v>207</v>
      </c>
      <c r="M40" s="402"/>
    </row>
    <row r="41" spans="1:20" s="140" customFormat="1" ht="15.75" x14ac:dyDescent="0.25">
      <c r="A41" s="142" t="s">
        <v>185</v>
      </c>
      <c r="B41" s="143"/>
      <c r="C41" s="144"/>
      <c r="D41" s="211"/>
      <c r="E41" s="144"/>
      <c r="F41" s="143"/>
      <c r="G41" s="144"/>
      <c r="H41" s="143"/>
      <c r="I41" s="144"/>
      <c r="J41" s="143"/>
      <c r="K41" s="144"/>
      <c r="L41" s="143"/>
      <c r="M41" s="111"/>
    </row>
    <row r="42" spans="1:20" s="140" customFormat="1" ht="15.75" x14ac:dyDescent="0.25">
      <c r="A42" s="145" t="s">
        <v>62</v>
      </c>
      <c r="B42" s="146">
        <f>IF(ISNA(VLOOKUP($A$1,PCards!$A$5:$AN$51,2,FALSE))=TRUE,"DEPT not Found",VLOOKUP($A$1,PCards!$A$5:$AN$51,2,FALSE))</f>
        <v>31</v>
      </c>
      <c r="C42" s="147"/>
      <c r="D42" s="176">
        <f>IF(ISNA(VLOOKUP($A$1,PCards!$A$5:$AN$51,3,FALSE))=TRUE,"DEPT not Found",VLOOKUP($A$1,PCards!$A$5:$AN$51,3,FALSE))</f>
        <v>30</v>
      </c>
      <c r="E42" s="147"/>
      <c r="F42" s="146">
        <f>IF(ISNA(VLOOKUP($A$1,PCards!$A$5:$AN$51,4,FALSE))=TRUE,"DEPT not Found",VLOOKUP($A$1,PCards!$A$5:$AN$51,4,FALSE))</f>
        <v>30</v>
      </c>
      <c r="G42" s="147"/>
      <c r="H42" s="146">
        <f>IF(ISNA(VLOOKUP($A$1,PCards!$A$5:$AN$51,5,FALSE))=TRUE,"DEPT not Found",VLOOKUP($A$1,PCards!$A$5:$AN$51,5,FALSE))</f>
        <v>29</v>
      </c>
      <c r="I42" s="147"/>
      <c r="J42" s="146">
        <f>IF(ISNA(VLOOKUP($A$1,PCards!$A$5:$AN$51,6,FALSE))=TRUE,"DEPT not Found",VLOOKUP($A$1,PCards!$A$5:$AN$51,6,FALSE))</f>
        <v>24</v>
      </c>
      <c r="K42" s="147"/>
      <c r="L42" s="146">
        <f>IF(ISNA(VLOOKUP($A$1,PCards!$A$5:$AN$51,7,FALSE))=TRUE,"DEPT not Found",VLOOKUP($A$1,PCards!$A$5:$AN$51,7,FALSE))</f>
        <v>25</v>
      </c>
      <c r="M42" s="148"/>
    </row>
    <row r="43" spans="1:20" s="140" customFormat="1" ht="15.75" x14ac:dyDescent="0.25">
      <c r="A43" s="145" t="s">
        <v>57</v>
      </c>
      <c r="B43" s="146">
        <f>IF(ISNA(VLOOKUP($A$1,PCards!$A$5:$AN$51,9,FALSE))=TRUE,"DEPT not Found",VLOOKUP($A$1,PCards!$A$5:$AN$51,9,FALSE))</f>
        <v>30</v>
      </c>
      <c r="C43" s="147"/>
      <c r="D43" s="176">
        <f>IF(ISNA(VLOOKUP($A$1,PCards!$A$5:$AN$51,10,FALSE))=TRUE,"DEPT not Found",VLOOKUP($A$1,PCards!$A$5:$AN$51,10,FALSE))</f>
        <v>27</v>
      </c>
      <c r="E43" s="147"/>
      <c r="F43" s="146">
        <f>IF(ISNA(VLOOKUP($A$1,PCards!$A$5:$AN$51,11,FALSE))=TRUE,"DEPT not Found",VLOOKUP($A$1,PCards!$A$5:$AN$51,11,FALSE))</f>
        <v>28</v>
      </c>
      <c r="G43" s="147"/>
      <c r="H43" s="146">
        <f>IF(ISNA(VLOOKUP($A$1,PCards!$A$5:$AN$51,12,FALSE))=TRUE,"DEPT not Found",VLOOKUP($A$1,PCards!$A$5:$AN$51,12,FALSE))</f>
        <v>26</v>
      </c>
      <c r="I43" s="147"/>
      <c r="J43" s="146">
        <f>IF(ISNA(VLOOKUP($A$1,PCards!$A$5:$AN$51,13,FALSE))=TRUE,"DEPT not Found",VLOOKUP($A$1,PCards!$A$5:$AN$51,13,FALSE))</f>
        <v>21</v>
      </c>
      <c r="K43" s="147"/>
      <c r="L43" s="146">
        <f>IF(ISNA(VLOOKUP($A$1,PCards!$A$5:$AN$51,14,FALSE))=TRUE,"DEPT not Found",VLOOKUP($A$1,PCards!$A$5:$AN$51,14,FALSE))</f>
        <v>21</v>
      </c>
      <c r="M43" s="148"/>
    </row>
    <row r="44" spans="1:20" s="140" customFormat="1" ht="15.75" x14ac:dyDescent="0.25">
      <c r="A44" s="149" t="s">
        <v>58</v>
      </c>
      <c r="B44" s="146">
        <f>IF(ISNA(VLOOKUP($A$1,PCards!$A$5:$AN$51,16,FALSE))=TRUE,"DEPT not Found",VLOOKUP($A$1,PCards!$A$5:$AN$51,16,FALSE))</f>
        <v>1</v>
      </c>
      <c r="C44" s="150">
        <f>IF(ISNA(VLOOKUP($A$1,PCards!$A$5:$AN$51,17,FALSE))=TRUE,"DEPT not Found",VLOOKUP($A$1,PCards!$A$5:$AN$51,17,FALSE))</f>
        <v>3.3333333333333333E-2</v>
      </c>
      <c r="D44" s="176">
        <f>IF(ISNA(VLOOKUP($A$1,PCards!$A$5:$AN$51,18,FALSE))=TRUE,"DEPT not Found",VLOOKUP($A$1,PCards!$A$5:$AN$51,18,FALSE))</f>
        <v>1</v>
      </c>
      <c r="E44" s="150">
        <f>IF(ISNA(VLOOKUP($A$1,PCards!$A$5:$AN$51,19,FALSE))=TRUE,"DEPT not Found",VLOOKUP($A$1,PCards!$A$5:$AN$51,19,FALSE))</f>
        <v>3.7037037037037035E-2</v>
      </c>
      <c r="F44" s="146">
        <f>IF(ISNA(VLOOKUP($A$1,PCards!$A$5:$AN$51,20,FALSE))=TRUE,"DEPT not Found",VLOOKUP($A$1,PCards!$A$5:$AN$51,20,FALSE))</f>
        <v>2</v>
      </c>
      <c r="G44" s="150">
        <f>IF(ISNA(VLOOKUP($A$1,PCards!$A$5:$AN$51,21,FALSE))=TRUE,"DEPT not Found",VLOOKUP($A$1,PCards!$A$5:$AN$51,21,FALSE))</f>
        <v>7.1428571428571425E-2</v>
      </c>
      <c r="H44" s="146">
        <f>IF(ISNA(VLOOKUP($A$1,PCards!$A$5:$AN$51,22,FALSE))=TRUE,"DEPT not Found",VLOOKUP($A$1,PCards!$A$5:$AN$51,22,FALSE))</f>
        <v>1</v>
      </c>
      <c r="I44" s="150">
        <f>IF(ISNA(VLOOKUP($A$1,PCards!$A$5:$AN$51,23,FALSE))=TRUE,"DEPT not Found",VLOOKUP($A$1,PCards!$A$5:$AN$51,23,FALSE))</f>
        <v>3.8461538461538464E-2</v>
      </c>
      <c r="J44" s="146">
        <f>IF(ISNA(VLOOKUP($A$1,PCards!$A$5:$AN$51,24,FALSE))=TRUE,"DEPT not Found",VLOOKUP($A$1,PCards!$A$5:$AN$51,24,FALSE))</f>
        <v>1</v>
      </c>
      <c r="K44" s="150">
        <f>IF(ISNA(VLOOKUP($A$1,PCards!$A$5:$AN$51,25,FALSE))=TRUE,"DEPT not Found",VLOOKUP($A$1,PCards!$A$5:$AN$51,25,FALSE))</f>
        <v>4.7619047619047616E-2</v>
      </c>
      <c r="L44" s="146">
        <f>IF(ISNA(VLOOKUP($A$1,PCards!$A$5:$AN$51,26,FALSE))=TRUE,"DEPT not Found",VLOOKUP($A$1,PCards!$A$5:$AN$51,26,FALSE))</f>
        <v>2</v>
      </c>
      <c r="M44" s="151">
        <f>IF(ISNA(VLOOKUP($A$1,PCards!$A$5:$AN$51,27,FALSE))=TRUE,"DEPT not Found",VLOOKUP($A$1,PCards!$A$5:$AN$51,27,FALSE))</f>
        <v>9.5238095238095233E-2</v>
      </c>
    </row>
    <row r="45" spans="1:20" s="140" customFormat="1" ht="15" customHeight="1" x14ac:dyDescent="0.25">
      <c r="A45" s="149" t="s">
        <v>59</v>
      </c>
      <c r="B45" s="146">
        <f>IF(ISNA(VLOOKUP($A$1,PCards!$A$5:$AN$51,29,FALSE))=TRUE,"DEPT not Found",VLOOKUP($A$1,PCards!$A$5:$AN$51,29,FALSE))</f>
        <v>2</v>
      </c>
      <c r="C45" s="150">
        <f>IF(ISNA(VLOOKUP($A$1,PCards!$A$5:$AN$51,30,FALSE))=TRUE,"DEPT not Found",VLOOKUP($A$1,PCards!$A$5:$AN$51,30,FALSE))</f>
        <v>6.6666666666666666E-2</v>
      </c>
      <c r="D45" s="176">
        <f>IF(ISNA(VLOOKUP($A$1,PCards!$A$5:$AN$51,31,FALSE))=TRUE,"DEPT not Found",VLOOKUP($A$1,PCards!$A$5:$AN$51,31,FALSE))</f>
        <v>1</v>
      </c>
      <c r="E45" s="150">
        <f>IF(ISNA(VLOOKUP($A$1,PCards!$A$5:$AN$51,32,FALSE))=TRUE,"DEPT not Found",VLOOKUP($A$1,PCards!$A$5:$AN$51,32,FALSE))</f>
        <v>3.7037037037037035E-2</v>
      </c>
      <c r="F45" s="146">
        <f>IF(ISNA(VLOOKUP($A$1,PCards!$A$5:$AN$51,33,FALSE))=TRUE,"DEPT not Found",VLOOKUP($A$1,PCards!$A$5:$AN$51,33,FALSE))</f>
        <v>1</v>
      </c>
      <c r="G45" s="150">
        <f>IF(ISNA(VLOOKUP($A$1,PCards!$A$5:$AN$51,34,FALSE))=TRUE,"DEPT not Found",VLOOKUP($A$1,PCards!$A$5:$AN$51,34,FALSE))</f>
        <v>3.5714285714285712E-2</v>
      </c>
      <c r="H45" s="146">
        <f>IF(ISNA(VLOOKUP($A$1,PCards!$A$5:$AN$51,35,FALSE))=TRUE,"DEPT not Found",VLOOKUP($A$1,PCards!$A$5:$AN$51,35,FALSE))</f>
        <v>0</v>
      </c>
      <c r="I45" s="150">
        <f>IF(ISNA(VLOOKUP($A$1,PCards!$A$5:$AN$51,36,FALSE))=TRUE,"DEPT not Found",VLOOKUP($A$1,PCards!$A$5:$AN$51,36,FALSE))</f>
        <v>0</v>
      </c>
      <c r="J45" s="146">
        <f>IF(ISNA(VLOOKUP($A$1,PCards!$A$5:$AN$51,37,FALSE))=TRUE,"DEPT not Found",VLOOKUP($A$1,PCards!$A$5:$AN$51,37,FALSE))</f>
        <v>0</v>
      </c>
      <c r="K45" s="150">
        <f>IF(ISNA(VLOOKUP($A$1,PCards!$A$5:$AN$51,38,FALSE))=TRUE,"DEPT not Found",VLOOKUP($A$1,PCards!$A$5:$AN$51,38,FALSE))</f>
        <v>0</v>
      </c>
      <c r="L45" s="146">
        <f>IF(ISNA(VLOOKUP($A$1,PCards!$A$5:$AN$51,39,FALSE))=TRUE,"DEPT not Found",VLOOKUP($A$1,PCards!$A$5:$AN$51,39,FALSE))</f>
        <v>0</v>
      </c>
      <c r="M45" s="151">
        <f>IF(ISNA(VLOOKUP($A$1,PCards!$A$5:$AN$51,40,FALSE))=TRUE,"DEPT not Found",VLOOKUP($A$1,PCards!$A$5:$AN$51,40,FALSE))</f>
        <v>0</v>
      </c>
    </row>
    <row r="46" spans="1:20" s="140" customFormat="1" ht="7.15" customHeight="1" x14ac:dyDescent="0.25">
      <c r="A46" s="152"/>
      <c r="B46" s="153"/>
      <c r="C46" s="154"/>
      <c r="D46" s="212"/>
      <c r="E46" s="154"/>
      <c r="F46" s="153"/>
      <c r="G46" s="154"/>
      <c r="H46" s="153"/>
      <c r="I46" s="154"/>
      <c r="J46" s="153"/>
      <c r="K46" s="154"/>
      <c r="L46" s="155"/>
      <c r="M46" s="156"/>
    </row>
    <row r="47" spans="1:20" s="140" customFormat="1" ht="15.75" x14ac:dyDescent="0.25">
      <c r="A47" s="157" t="s">
        <v>170</v>
      </c>
      <c r="B47" s="110"/>
      <c r="C47" s="144"/>
      <c r="D47" s="169"/>
      <c r="E47" s="144"/>
      <c r="F47" s="110"/>
      <c r="G47" s="144"/>
      <c r="H47" s="110"/>
      <c r="I47" s="144"/>
      <c r="J47" s="110"/>
      <c r="K47" s="144"/>
      <c r="L47" s="110"/>
      <c r="M47" s="111"/>
    </row>
    <row r="48" spans="1:20" s="140" customFormat="1" ht="15.75" x14ac:dyDescent="0.25">
      <c r="A48" s="149" t="s">
        <v>95</v>
      </c>
      <c r="B48" s="158"/>
      <c r="C48" s="159"/>
      <c r="D48" s="176">
        <f>IF(ISNA(VLOOKUP($A$1,Concur!$A$5:$N$51,2,FALSE))=TRUE,"DEPT not Found",VLOOKUP($A$1,Concur!$A$5:$N$51,2,FALSE))</f>
        <v>5</v>
      </c>
      <c r="E48" s="154"/>
      <c r="F48" s="160"/>
      <c r="G48" s="161"/>
      <c r="H48" s="146">
        <f>IF(ISNA(VLOOKUP($A$1,Concur!$A$5:$N$51,3,FALSE))=TRUE,"DEPT not Found",VLOOKUP($A$1,Concur!$A$5:$N$51,3,FALSE))</f>
        <v>7</v>
      </c>
      <c r="I48" s="161"/>
      <c r="J48" s="146">
        <f>IF(ISNA(VLOOKUP($A$1,Concur!$A$5:$N$51,4,FALSE))=TRUE,"DEPT not Found",VLOOKUP($A$1,Concur!$A$5:$N$51,4,FALSE))</f>
        <v>7</v>
      </c>
      <c r="K48" s="161"/>
      <c r="L48" s="146">
        <f>IF(ISNA(VLOOKUP($A$1,Concur!$A$5:$N$51,5,FALSE))=TRUE,"DEPT not Found",VLOOKUP($A$1,Concur!$A$5:$N$51,5,FALSE))</f>
        <v>7</v>
      </c>
      <c r="M48" s="156"/>
      <c r="Q48" s="162"/>
      <c r="R48" s="162"/>
      <c r="S48" s="162"/>
      <c r="T48" s="162"/>
    </row>
    <row r="49" spans="1:20" s="140" customFormat="1" ht="15.75" x14ac:dyDescent="0.25">
      <c r="A49" s="149" t="s">
        <v>94</v>
      </c>
      <c r="B49" s="158"/>
      <c r="C49" s="159"/>
      <c r="D49" s="176">
        <f>IF(ISNA(VLOOKUP($A$1,Concur!$A$5:$N$51,7,FALSE))=TRUE,"DEPT not Found",VLOOKUP($A$1,Concur!$A$5:$N$51,7,FALSE))</f>
        <v>4</v>
      </c>
      <c r="E49" s="150">
        <f>IF(ISNA(VLOOKUP($A$1,Concur!$A$5:$N$51,8,FALSE))=TRUE,"DEPT not Found",VLOOKUP($A$1,Concur!$A$5:$N$51,8,FALSE))</f>
        <v>0.8</v>
      </c>
      <c r="F49" s="160"/>
      <c r="G49" s="161"/>
      <c r="H49" s="146">
        <f>IF(ISNA(VLOOKUP($A$1,Concur!$A$5:$N$51,9,FALSE))=TRUE,"DEPT not Found",VLOOKUP($A$1,Concur!$A$5:$N$51,9,FALSE))</f>
        <v>4</v>
      </c>
      <c r="I49" s="150">
        <f>IF(ISNA(VLOOKUP($A$1,Concur!$A$5:$N$51,10,FALSE))=TRUE,"DEPT not Found",VLOOKUP($A$1,Concur!$A$5:$N$51,10,FALSE))</f>
        <v>0.5714285714285714</v>
      </c>
      <c r="J49" s="146">
        <f>IF(ISNA(VLOOKUP($A$1,Concur!$A$5:$N$51,11,FALSE))=TRUE,"DEPT not Found",VLOOKUP($A$1,Concur!$A$5:$N$51,11,FALSE))</f>
        <v>6</v>
      </c>
      <c r="K49" s="150">
        <f>IF(ISNA(VLOOKUP($A$1,Concur!$A$5:$N$51,12,FALSE))=TRUE,"DEPT not Found",VLOOKUP($A$1,Concur!$A$5:$N$51,12,FALSE))</f>
        <v>0.8571428571428571</v>
      </c>
      <c r="L49" s="146">
        <f>IF(ISNA(VLOOKUP($A$1,Concur!$A$5:$N$51,13,FALSE))=TRUE,"DEPT not Found",VLOOKUP($A$1,Concur!$A$5:$N$51,13,FALSE))</f>
        <v>5</v>
      </c>
      <c r="M49" s="151">
        <f>IF(ISNA(VLOOKUP($A$1,Concur!$A$5:$N$51,14,FALSE))=TRUE,"DEPT not Found",VLOOKUP($A$1,Concur!$A$5:$N$51,14,FALSE))</f>
        <v>0.7142857142857143</v>
      </c>
      <c r="Q49" s="163"/>
      <c r="R49" s="163"/>
      <c r="S49" s="163"/>
      <c r="T49" s="163"/>
    </row>
    <row r="50" spans="1:20" s="140" customFormat="1" ht="7.15" customHeight="1" thickBot="1" x14ac:dyDescent="0.3">
      <c r="A50" s="164"/>
      <c r="B50" s="165"/>
      <c r="C50" s="165"/>
      <c r="D50" s="165"/>
      <c r="E50" s="165"/>
      <c r="F50" s="165"/>
      <c r="G50" s="165"/>
      <c r="H50" s="165"/>
      <c r="I50" s="165"/>
      <c r="J50" s="165"/>
      <c r="K50" s="165"/>
      <c r="L50" s="165"/>
      <c r="M50" s="166"/>
    </row>
    <row r="51" spans="1:20" s="140" customFormat="1" ht="15.75" x14ac:dyDescent="0.25">
      <c r="A51" s="167"/>
      <c r="B51" s="168"/>
      <c r="C51" s="168"/>
      <c r="D51" s="168"/>
      <c r="E51" s="168"/>
      <c r="F51" s="168"/>
      <c r="G51" s="168"/>
      <c r="H51" s="168"/>
      <c r="I51" s="168"/>
      <c r="J51" s="168"/>
      <c r="K51" s="168"/>
      <c r="L51" s="168"/>
      <c r="M51" s="168"/>
    </row>
    <row r="52" spans="1:20" s="140" customFormat="1" ht="15.75" x14ac:dyDescent="0.25"/>
    <row r="53" spans="1:20" s="140" customFormat="1" ht="16.5" thickBot="1" x14ac:dyDescent="0.3"/>
    <row r="54" spans="1:20" s="140" customFormat="1" ht="18.75" x14ac:dyDescent="0.3">
      <c r="A54" s="403" t="s">
        <v>213</v>
      </c>
      <c r="B54" s="404"/>
      <c r="C54" s="404"/>
      <c r="D54" s="404"/>
      <c r="E54" s="404"/>
      <c r="F54" s="404"/>
      <c r="G54" s="404"/>
      <c r="H54" s="404"/>
      <c r="I54" s="404"/>
      <c r="J54" s="404"/>
      <c r="K54" s="404"/>
      <c r="L54" s="404"/>
      <c r="M54" s="405"/>
    </row>
    <row r="55" spans="1:20" s="140" customFormat="1" ht="15.75" x14ac:dyDescent="0.25">
      <c r="A55" s="197"/>
      <c r="B55" s="401" t="s">
        <v>55</v>
      </c>
      <c r="C55" s="401"/>
      <c r="D55" s="401" t="s">
        <v>54</v>
      </c>
      <c r="E55" s="401"/>
      <c r="F55" s="401" t="s">
        <v>53</v>
      </c>
      <c r="G55" s="401"/>
      <c r="H55" s="401" t="s">
        <v>56</v>
      </c>
      <c r="I55" s="401"/>
      <c r="J55" s="401" t="s">
        <v>206</v>
      </c>
      <c r="K55" s="401"/>
      <c r="L55" s="401" t="s">
        <v>207</v>
      </c>
      <c r="M55" s="402"/>
    </row>
    <row r="56" spans="1:20" s="140" customFormat="1" ht="15.75" x14ac:dyDescent="0.25">
      <c r="A56" s="186" t="s">
        <v>172</v>
      </c>
      <c r="B56" s="409">
        <f>(IF(ISNA(VLOOKUP($A$1,'Gift Funds'!$A$5:$AC$51,2,FALSE))=TRUE,"DEPT not Found",VLOOKUP($A$1,'Gift Funds'!$A$5:$AC$51,2,FALSE))/1000)</f>
        <v>3474.4156499999999</v>
      </c>
      <c r="C56" s="410"/>
      <c r="D56" s="411">
        <f>(IF(ISNA(VLOOKUP($A$1,'Gift Funds'!$A$5:$AC$51,3,FALSE))=TRUE,"DEPT not Found",VLOOKUP($A$1,'Gift Funds'!$A$5:$AC$51,3,FALSE))/1000)</f>
        <v>3347.6185099999998</v>
      </c>
      <c r="E56" s="410"/>
      <c r="F56" s="409">
        <f>(IF(ISNA(VLOOKUP($A$1,'Gift Funds'!$A$5:$AC$51,4,FALSE))=TRUE,"DEPT not Found",VLOOKUP($A$1,'Gift Funds'!$A$5:$AC$51,4,FALSE))/1000)</f>
        <v>4079.114</v>
      </c>
      <c r="G56" s="410"/>
      <c r="H56" s="409">
        <f>(IF(ISNA(VLOOKUP($A$1,'Gift Funds'!$A$5:$AC$51,5,FALSE))=TRUE,"DEPT not Found",VLOOKUP($A$1,'Gift Funds'!$A$5:$AC$51,5,FALSE))/1000)</f>
        <v>4201.4812699999993</v>
      </c>
      <c r="I56" s="410"/>
      <c r="J56" s="409">
        <f>(IF(ISNA(VLOOKUP($A$1,'Gift Funds'!$A$5:$AC$51,6,FALSE))=TRUE,"DEPT not Found",VLOOKUP($A$1,'Gift Funds'!$A$5:$AC$51,6,FALSE))/1000)</f>
        <v>4325.7166299999999</v>
      </c>
      <c r="K56" s="410"/>
      <c r="L56" s="411">
        <f>(IF(ISNA(VLOOKUP($A$1,'Gift Funds'!$A$5:$AC$51,7,FALSE))=TRUE,"DEPT not Found",VLOOKUP($A$1,'Gift Funds'!$A$5:$AC$51,7,FALSE))/1000)</f>
        <v>4280.3485799999989</v>
      </c>
      <c r="M56" s="412"/>
    </row>
    <row r="57" spans="1:20" s="140" customFormat="1" ht="15.75" x14ac:dyDescent="0.25">
      <c r="A57" s="145" t="s">
        <v>101</v>
      </c>
      <c r="B57" s="146">
        <f>IF(ISNA(VLOOKUP($A$1,'Gift Funds'!$A$5:$AC$51,9,FALSE))=TRUE,"DEPT not Found",VLOOKUP($A$1,'Gift Funds'!$A$5:$AC$51,9,FALSE))</f>
        <v>4</v>
      </c>
      <c r="C57" s="209">
        <f>(IF(ISNA(VLOOKUP($A$1,'Gift Funds'!$A$5:$AC$51,10,FALSE))=TRUE,"DEPT not Found",VLOOKUP($A$1,'Gift Funds'!$A$5:$AC$51,10,FALSE))/1000)*-1</f>
        <v>52.29242</v>
      </c>
      <c r="D57" s="176">
        <f>IF(ISNA(VLOOKUP($A$1,'Gift Funds'!$A$5:$AC$51,11,FALSE))=TRUE,"DEPT not Found",VLOOKUP($A$1,'Gift Funds'!$A$5:$AC$51,11,FALSE))</f>
        <v>4</v>
      </c>
      <c r="E57" s="209">
        <f>(IF(ISNA(VLOOKUP($A$1,'Gift Funds'!$A$5:$AC$51,12,FALSE))=TRUE,"DEPT not Found",VLOOKUP($A$1,'Gift Funds'!$A$5:$AC$51,12,FALSE))/1000)*-1</f>
        <v>40.689129999999999</v>
      </c>
      <c r="F57" s="146">
        <f>IF(ISNA(VLOOKUP($A$1,'Gift Funds'!$A$5:$AC$51,13,FALSE))=TRUE,"DEPT not Found",VLOOKUP($A$1,'Gift Funds'!$A$5:$AC$51,13,FALSE))</f>
        <v>1</v>
      </c>
      <c r="G57" s="209">
        <f>(IF(ISNA(VLOOKUP($A$1,'Gift Funds'!$A$5:$AC$51,14,FALSE))=TRUE,"DEPT not Found",VLOOKUP($A$1,'Gift Funds'!$A$5:$AC$51,14,FALSE))/1000)*-1</f>
        <v>1.4537</v>
      </c>
      <c r="H57" s="146">
        <f>IF(ISNA(VLOOKUP($A$1,'Gift Funds'!$A$5:$AC$51,15,FALSE))=TRUE,"DEPT not Found",VLOOKUP($A$1,'Gift Funds'!$A$5:$AC$51,15,FALSE))</f>
        <v>3</v>
      </c>
      <c r="I57" s="209">
        <f>(IF(ISNA(VLOOKUP($A$1,'Gift Funds'!$A$5:$AC$51,16,FALSE))=TRUE,"DEPT not Found",VLOOKUP($A$1,'Gift Funds'!$A$5:$AC$51,16,FALSE))/1000)*-1</f>
        <v>13.46561</v>
      </c>
      <c r="J57" s="146">
        <f>IF(ISNA(VLOOKUP($A$1,'Gift Funds'!$A$5:$AC$51,17,FALSE))=TRUE,"DEPT not Found",VLOOKUP($A$1,'Gift Funds'!$A$5:$AC$51,17,FALSE))</f>
        <v>6</v>
      </c>
      <c r="K57" s="209">
        <f>(IF(ISNA(VLOOKUP($A$1,'Gift Funds'!$A$5:$AC$51,18,FALSE))=TRUE,"DEPT not Found",VLOOKUP($A$1,'Gift Funds'!$A$5:$AC$51,18,FALSE))/1000)*-1</f>
        <v>55.733440000000002</v>
      </c>
      <c r="L57" s="176">
        <f>IF(ISNA(VLOOKUP($A$1,'Gift Funds'!$A$5:$AC$51,19,FALSE))=TRUE,"DEPT not Found",VLOOKUP($A$1,'Gift Funds'!$A$5:$AC$51,19,FALSE))</f>
        <v>15</v>
      </c>
      <c r="M57" s="210">
        <f>(IF(ISNA(VLOOKUP($A$1,'Gift Funds'!$A$5:$AC$51,20,FALSE))=TRUE,"DEPT not Found",VLOOKUP($A$1,'Gift Funds'!$A$5:$AC$51,20,FALSE))/1000)*-1</f>
        <v>255.33003000000002</v>
      </c>
    </row>
    <row r="58" spans="1:20" s="140" customFormat="1" ht="15.75" x14ac:dyDescent="0.25">
      <c r="A58" s="149" t="s">
        <v>99</v>
      </c>
      <c r="B58" s="155"/>
      <c r="C58" s="198"/>
      <c r="D58" s="199"/>
      <c r="E58" s="200"/>
      <c r="F58" s="176">
        <f>IF(ISNA(VLOOKUP($A$1,'Gift Funds'!$A$5:$AC$51,22,FALSE))=TRUE,"DEPT not Found",VLOOKUP($A$1,'Gift Funds'!$A$5:$AC$51,22,FALSE))</f>
        <v>3</v>
      </c>
      <c r="G58" s="209">
        <f>(IF(ISNA(VLOOKUP($A$1,'Gift Funds'!$A$5:$AC$51,23,FALSE))=TRUE,"DEPT not Found",VLOOKUP($A$1,'Gift Funds'!$A$5:$AC$51,23,FALSE))/1000)</f>
        <v>50.424160000000001</v>
      </c>
      <c r="H58" s="176">
        <f>IF(ISNA(VLOOKUP($A$1,'Gift Funds'!$A$5:$AC$51,24,FALSE))=TRUE,"DEPT not Found",VLOOKUP($A$1,'Gift Funds'!$A$5:$AC$51,24,FALSE))</f>
        <v>4</v>
      </c>
      <c r="I58" s="209">
        <f>(IF(ISNA(VLOOKUP($A$1,'Gift Funds'!$A$5:$AC$51,25,FALSE))=TRUE,"DEPT not Found",VLOOKUP($A$1,'Gift Funds'!$A$5:$AC$51,25,FALSE))/1000)</f>
        <v>179.09504000000001</v>
      </c>
      <c r="J58" s="176">
        <f>IF(ISNA(VLOOKUP($A$1,'Gift Funds'!$A$5:$AC$51,26,FALSE))=TRUE,"DEPT not Found",VLOOKUP($A$1,'Gift Funds'!$A$5:$AC$51,26,FALSE))</f>
        <v>3</v>
      </c>
      <c r="K58" s="209">
        <f>(IF(ISNA(VLOOKUP($A$1,'Gift Funds'!$A$5:$AC$51,27,FALSE))=TRUE,"DEPT not Found",VLOOKUP($A$1,'Gift Funds'!$A$5:$AC$51,27,FALSE))/1000)</f>
        <v>337.72307000000001</v>
      </c>
      <c r="L58" s="176">
        <f>IF(ISNA(VLOOKUP($A$1,'Gift Funds'!$A$5:$AC$51,28,FALSE))=TRUE,"DEPT not Found",VLOOKUP($A$1,'Gift Funds'!$A$5:$AC$51,28,FALSE))</f>
        <v>2</v>
      </c>
      <c r="M58" s="210">
        <f>(IF(ISNA(VLOOKUP($A$1,'Gift Funds'!$A$5:$AC$51,29,FALSE))=TRUE,"DEPT not Found",VLOOKUP($A$1,'Gift Funds'!$A$5:$AC$51,29,FALSE))/1000)</f>
        <v>69.670140000000004</v>
      </c>
    </row>
    <row r="59" spans="1:20" s="140" customFormat="1" ht="7.15" customHeight="1" thickBot="1" x14ac:dyDescent="0.3">
      <c r="A59" s="164"/>
      <c r="B59" s="165"/>
      <c r="C59" s="165"/>
      <c r="D59" s="165"/>
      <c r="E59" s="165"/>
      <c r="F59" s="165"/>
      <c r="G59" s="165"/>
      <c r="H59" s="165"/>
      <c r="I59" s="165"/>
      <c r="J59" s="165"/>
      <c r="K59" s="165"/>
      <c r="L59" s="165"/>
      <c r="M59" s="166"/>
    </row>
    <row r="60" spans="1:20" s="140" customFormat="1" ht="16.5" thickBot="1" x14ac:dyDescent="0.3">
      <c r="A60" s="167"/>
      <c r="B60" s="168"/>
      <c r="C60" s="168"/>
      <c r="D60" s="168"/>
      <c r="E60" s="168"/>
      <c r="F60" s="168"/>
      <c r="G60" s="168"/>
      <c r="H60" s="168"/>
      <c r="I60" s="168"/>
      <c r="J60" s="168"/>
      <c r="K60" s="168"/>
      <c r="L60" s="168"/>
      <c r="M60" s="168"/>
    </row>
    <row r="61" spans="1:20" s="140" customFormat="1" ht="18.75" x14ac:dyDescent="0.3">
      <c r="A61" s="403" t="s">
        <v>214</v>
      </c>
      <c r="B61" s="404"/>
      <c r="C61" s="404"/>
      <c r="D61" s="404"/>
      <c r="E61" s="404"/>
      <c r="F61" s="404"/>
      <c r="G61" s="404"/>
      <c r="H61" s="404"/>
      <c r="I61" s="404"/>
      <c r="J61" s="404"/>
      <c r="K61" s="404"/>
      <c r="L61" s="404"/>
      <c r="M61" s="405"/>
    </row>
    <row r="62" spans="1:20" s="140" customFormat="1" ht="15.75" x14ac:dyDescent="0.25">
      <c r="A62" s="197"/>
      <c r="B62" s="401" t="s">
        <v>105</v>
      </c>
      <c r="C62" s="401"/>
      <c r="D62" s="401" t="s">
        <v>104</v>
      </c>
      <c r="E62" s="401"/>
      <c r="F62" s="401" t="s">
        <v>103</v>
      </c>
      <c r="G62" s="401"/>
      <c r="H62" s="401" t="s">
        <v>198</v>
      </c>
      <c r="I62" s="401"/>
      <c r="J62" s="401" t="s">
        <v>208</v>
      </c>
      <c r="K62" s="401"/>
      <c r="L62" s="401" t="s">
        <v>209</v>
      </c>
      <c r="M62" s="402"/>
    </row>
    <row r="63" spans="1:20" s="140" customFormat="1" ht="15.75" x14ac:dyDescent="0.25">
      <c r="A63" s="157" t="s">
        <v>186</v>
      </c>
      <c r="B63" s="110"/>
      <c r="C63" s="144"/>
      <c r="D63" s="406">
        <f>(IF(ISNA(VLOOKUP($A$1,'Financial Aid'!$A$5:$AM$51,2,FALSE))=TRUE,"DEPT not Found",VLOOKUP($A$1,'Financial Aid'!$A$5:$AM$51,2,FALSE))/1000)</f>
        <v>687.73800000000006</v>
      </c>
      <c r="E63" s="407"/>
      <c r="F63" s="406">
        <f>(IF(ISNA(VLOOKUP($A$1,'Financial Aid'!$A$5:$AM$51,3,FALSE))=TRUE,"DEPT not Found",VLOOKUP($A$1,'Financial Aid'!$A$5:$AM$51,3,FALSE))/1000)</f>
        <v>1392.0730000000001</v>
      </c>
      <c r="G63" s="407"/>
      <c r="H63" s="406">
        <f>(IF(ISNA(VLOOKUP($A$1,'Financial Aid'!$A$5:$AM$51,4,FALSE))=TRUE,"DEPT not Found",VLOOKUP($A$1,'Financial Aid'!$A$5:$AM$51,4,FALSE))/1000)</f>
        <v>1396.538</v>
      </c>
      <c r="I63" s="407"/>
      <c r="J63" s="406">
        <f>(IF(ISNA(VLOOKUP($A$1,'Financial Aid'!$A$5:$AM$51,5,FALSE))=TRUE,"DEPT not Found",VLOOKUP($A$1,'Financial Aid'!$A$5:$AM$51,5,FALSE))/1000)</f>
        <v>1249.3119999999999</v>
      </c>
      <c r="K63" s="407"/>
      <c r="L63" s="406">
        <f>(IF(ISNA(VLOOKUP($A$1,'Financial Aid'!$A$5:$AM$51,6,FALSE))=TRUE,"DEPT not Found",VLOOKUP($A$1,'Financial Aid'!$A$5:$AM$51,6,FALSE))/1000)</f>
        <v>1347.4111299999972</v>
      </c>
      <c r="M63" s="417"/>
    </row>
    <row r="64" spans="1:20" s="140" customFormat="1" ht="15.75" x14ac:dyDescent="0.25">
      <c r="A64" s="201" t="s">
        <v>164</v>
      </c>
      <c r="B64" s="158"/>
      <c r="C64" s="159"/>
      <c r="D64" s="206">
        <f>(IF(ISNA(VLOOKUP($A$1,'Financial Aid'!$A$5:$AM$51,8,FALSE))=TRUE,"DEPT not Found",VLOOKUP($A$1,'Financial Aid'!$A$5:$AM$51,8,FALSE))/1000)</f>
        <v>195.91300000000001</v>
      </c>
      <c r="E64" s="171">
        <f>IF(ISNA(VLOOKUP($A$1,'Financial Aid'!$A$5:$AM$51,9,FALSE))=TRUE,"DEPT not Found",VLOOKUP($A$1,'Financial Aid'!$A$5:$AM$51,9,FALSE))</f>
        <v>0.28486574829368161</v>
      </c>
      <c r="F64" s="206">
        <f>(IF(ISNA(VLOOKUP($A$1,'Financial Aid'!$A$5:$AM$51,10,FALSE))=TRUE,"DEPT not Found",VLOOKUP($A$1,'Financial Aid'!$A$5:$AM$51,10,FALSE))/1000)</f>
        <v>56.515000000000001</v>
      </c>
      <c r="G64" s="171">
        <f>IF(ISNA(VLOOKUP($A$1,'Financial Aid'!$A$5:$AM$51,11,FALSE))=TRUE,"DEPT not Found",VLOOKUP($A$1,'Financial Aid'!$A$5:$AM$51,11,FALSE))</f>
        <v>4.0597727274359896E-2</v>
      </c>
      <c r="H64" s="206">
        <f>(IF(ISNA(VLOOKUP($A$1,'Financial Aid'!$A$5:$AM$51,12,FALSE))=TRUE,"DEPT not Found",VLOOKUP($A$1,'Financial Aid'!$A$5:$AM$51,12,FALSE))/1000)</f>
        <v>110.074</v>
      </c>
      <c r="I64" s="171">
        <f>IF(ISNA(VLOOKUP($A$1,'Financial Aid'!$A$5:$AM$51,13,FALSE))=TRUE,"DEPT not Found",VLOOKUP($A$1,'Financial Aid'!$A$5:$AM$51,13,FALSE))</f>
        <v>7.881919432195901E-2</v>
      </c>
      <c r="J64" s="206">
        <f>(IF(ISNA(VLOOKUP($A$1,'Financial Aid'!$A$5:$AM$51,14,FALSE))=TRUE,"DEPT not Found",VLOOKUP($A$1,'Financial Aid'!$A$5:$AM$51,14,FALSE))/1000)</f>
        <v>138.71299999999999</v>
      </c>
      <c r="K64" s="171">
        <f>IF(ISNA(VLOOKUP($A$1,'Financial Aid'!$A$5:$AM$51,15,FALSE))=TRUE,"DEPT not Found",VLOOKUP($A$1,'Financial Aid'!$A$5:$AM$51,15,FALSE))</f>
        <v>0.11103151174406393</v>
      </c>
      <c r="L64" s="206">
        <f>(IF(ISNA(VLOOKUP($A$1,'Financial Aid'!$A$5:$AM$51,16,FALSE))=TRUE,"DEPT not Found",VLOOKUP($A$1,'Financial Aid'!$A$5:$AM$51,16,FALSE))/1000)</f>
        <v>275.05</v>
      </c>
      <c r="M64" s="172">
        <f>IF(ISNA(VLOOKUP($A$1,'Financial Aid'!$A$5:$AM$51,17,FALSE))=TRUE,"DEPT not Found",VLOOKUP($A$1,'Financial Aid'!$A$5:$AM$51,17,FALSE))</f>
        <v>0.20413220128291545</v>
      </c>
    </row>
    <row r="65" spans="1:13" s="140" customFormat="1" ht="15.75" x14ac:dyDescent="0.25">
      <c r="A65" s="149" t="s">
        <v>163</v>
      </c>
      <c r="B65" s="153"/>
      <c r="C65" s="195"/>
      <c r="D65" s="206">
        <f>(IF(ISNA(VLOOKUP($A$1,'Financial Aid'!$A$5:$AM$51,19,FALSE))=TRUE,"DEPT not Found",VLOOKUP($A$1,'Financial Aid'!$A$5:$AM$51,19,FALSE))/1000)</f>
        <v>338.51299999999998</v>
      </c>
      <c r="E65" s="171">
        <f>IF(ISNA(VLOOKUP($A$1,'Financial Aid'!$A$5:$AM$51,20,FALSE))=TRUE,"DEPT not Found",VLOOKUP($A$1,'Financial Aid'!$A$5:$AM$51,20,FALSE))</f>
        <v>0.49221215055733436</v>
      </c>
      <c r="F65" s="206">
        <f>(IF(ISNA(VLOOKUP($A$1,'Financial Aid'!$A$5:$AM$51,21,FALSE))=TRUE,"DEPT not Found",VLOOKUP($A$1,'Financial Aid'!$A$5:$AM$51,21,FALSE))/1000)</f>
        <v>660.41099999999994</v>
      </c>
      <c r="G65" s="171">
        <f>IF(ISNA(VLOOKUP($A$1,'Financial Aid'!$A$5:$AM$51,22,FALSE))=TRUE,"DEPT not Found",VLOOKUP($A$1,'Financial Aid'!$A$5:$AM$51,22,FALSE))</f>
        <v>0.47440831048371745</v>
      </c>
      <c r="H65" s="206">
        <f>(IF(ISNA(VLOOKUP($A$1,'Financial Aid'!$A$5:$AM$51,23,FALSE))=TRUE,"DEPT not Found",VLOOKUP($A$1,'Financial Aid'!$A$5:$AM$51,23,FALSE))/1000)</f>
        <v>583.29899999999998</v>
      </c>
      <c r="I65" s="171">
        <f>IF(ISNA(VLOOKUP($A$1,'Financial Aid'!$A$5:$AM$51,24,FALSE))=TRUE,"DEPT not Found",VLOOKUP($A$1,'Financial Aid'!$A$5:$AM$51,24,FALSE))</f>
        <v>0.41767499344808379</v>
      </c>
      <c r="J65" s="206">
        <f>(IF(ISNA(VLOOKUP($A$1,'Financial Aid'!$A$5:$AM$51,25,FALSE))=TRUE,"DEPT not Found",VLOOKUP($A$1,'Financial Aid'!$A$5:$AM$51,25,FALSE))/1000)</f>
        <v>513.52599999999995</v>
      </c>
      <c r="K65" s="171">
        <f>IF(ISNA(VLOOKUP($A$1,'Financial Aid'!$A$5:$AM$51,26,FALSE))=TRUE,"DEPT not Found",VLOOKUP($A$1,'Financial Aid'!$A$5:$AM$51,26,FALSE))</f>
        <v>0.41104704029097616</v>
      </c>
      <c r="L65" s="206">
        <f>(IF(ISNA(VLOOKUP($A$1,'Financial Aid'!$A$5:$AM$51,27,FALSE))=TRUE,"DEPT not Found",VLOOKUP($A$1,'Financial Aid'!$A$5:$AM$51,27,FALSE))/1000)</f>
        <v>472.48700000000002</v>
      </c>
      <c r="M65" s="172">
        <f>IF(ISNA(VLOOKUP($A$1,'Financial Aid'!$A$5:$AM$51,28,FALSE))=TRUE,"DEPT not Found",VLOOKUP($A$1,'Financial Aid'!$A$5:$AM$51,28,FALSE))</f>
        <v>0.35066282998567849</v>
      </c>
    </row>
    <row r="66" spans="1:13" s="140" customFormat="1" ht="15.75" x14ac:dyDescent="0.25">
      <c r="A66" s="149" t="s">
        <v>106</v>
      </c>
      <c r="B66" s="155"/>
      <c r="C66" s="198"/>
      <c r="D66" s="176">
        <f>IF(ISNA(VLOOKUP($A$1,'Financial Aid'!$A$5:$AM$51,30,FALSE))=TRUE,"DEPT not Found",VLOOKUP($A$1,'Financial Aid'!$A$5:$AM$51,30,FALSE))</f>
        <v>8</v>
      </c>
      <c r="E66" s="209">
        <f>(IF(ISNA(VLOOKUP($A$1,'Financial Aid'!$A$5:$AM$51,31,FALSE))=TRUE,"DEPT not Found",VLOOKUP($A$1,'Financial Aid'!$A$5:$AM$51,31,FALSE))/1000)</f>
        <v>25.905000000000001</v>
      </c>
      <c r="F66" s="176">
        <f>IF(ISNA(VLOOKUP($A$1,'Financial Aid'!$A$5:$AM$51,32,FALSE))=TRUE,"DEPT not Found",VLOOKUP($A$1,'Financial Aid'!$A$5:$AM$51,32,FALSE))</f>
        <v>12</v>
      </c>
      <c r="G66" s="209">
        <f>(IF(ISNA(VLOOKUP($A$1,'Financial Aid'!$A$5:$AM$51,33,FALSE))=TRUE,"DEPT not Found",VLOOKUP($A$1,'Financial Aid'!$A$5:$AM$51,33,FALSE))/1000)</f>
        <v>66.052999999999997</v>
      </c>
      <c r="H66" s="176">
        <f>IF(ISNA(VLOOKUP($A$1,'Financial Aid'!$A$5:$AM$51,34,FALSE))=TRUE,"DEPT not Found",VLOOKUP($A$1,'Financial Aid'!$A$5:$AM$51,34,FALSE))</f>
        <v>22</v>
      </c>
      <c r="I66" s="209">
        <f>(IF(ISNA(VLOOKUP($A$1,'Financial Aid'!$A$5:$AM$51,35,FALSE))=TRUE,"DEPT not Found",VLOOKUP($A$1,'Financial Aid'!$A$5:$AM$51,35,FALSE))/1000)</f>
        <v>64.756</v>
      </c>
      <c r="J66" s="176">
        <f>IF(ISNA(VLOOKUP($A$1,'Financial Aid'!$A$5:$AM$51,36,FALSE))=TRUE,"DEPT not Found",VLOOKUP($A$1,'Financial Aid'!$A$5:$AM$51,36,FALSE))</f>
        <v>30</v>
      </c>
      <c r="K66" s="209">
        <f>(IF(ISNA(VLOOKUP($A$1,'Financial Aid'!$A$5:$AM$51,37,FALSE))=TRUE,"DEPT not Found",VLOOKUP($A$1,'Financial Aid'!$A$5:$AM$51,37,FALSE))/1000)</f>
        <v>166.39</v>
      </c>
      <c r="L66" s="176">
        <f>IF(ISNA(VLOOKUP($A$1,'Financial Aid'!$A$5:$AM$51,38,FALSE))=TRUE,"DEPT not Found",VLOOKUP($A$1,'Financial Aid'!$A$5:$AM$51,38,FALSE))</f>
        <v>32</v>
      </c>
      <c r="M66" s="210">
        <f>(IF(ISNA(VLOOKUP($A$1,'Financial Aid'!$A$5:$AM$51,39,FALSE))=TRUE,"DEPT not Found",VLOOKUP($A$1,'Financial Aid'!$A$5:$AM$51,39,FALSE))/1000)</f>
        <v>162.489</v>
      </c>
    </row>
    <row r="67" spans="1:13" s="140" customFormat="1" ht="7.15" customHeight="1" thickBot="1" x14ac:dyDescent="0.3">
      <c r="A67" s="164"/>
      <c r="B67" s="165"/>
      <c r="C67" s="165"/>
      <c r="D67" s="165"/>
      <c r="E67" s="165"/>
      <c r="F67" s="165"/>
      <c r="G67" s="165"/>
      <c r="H67" s="165"/>
      <c r="I67" s="165"/>
      <c r="J67" s="165"/>
      <c r="K67" s="165"/>
      <c r="L67" s="165"/>
      <c r="M67" s="166"/>
    </row>
    <row r="68" spans="1:13" s="140" customFormat="1" ht="16.5" thickBot="1" x14ac:dyDescent="0.3"/>
    <row r="69" spans="1:13" s="140" customFormat="1" ht="18.75" x14ac:dyDescent="0.3">
      <c r="A69" s="414" t="s">
        <v>248</v>
      </c>
      <c r="B69" s="415"/>
      <c r="C69" s="415"/>
      <c r="D69" s="415"/>
      <c r="E69" s="415"/>
      <c r="F69" s="415"/>
      <c r="G69" s="415"/>
      <c r="H69" s="415"/>
      <c r="I69" s="415"/>
      <c r="J69" s="415"/>
      <c r="K69" s="415"/>
      <c r="L69" s="415"/>
      <c r="M69" s="416"/>
    </row>
    <row r="70" spans="1:13" s="140" customFormat="1" ht="15.75" x14ac:dyDescent="0.25">
      <c r="A70" s="141"/>
      <c r="B70" s="401" t="s">
        <v>55</v>
      </c>
      <c r="C70" s="401"/>
      <c r="D70" s="401" t="s">
        <v>54</v>
      </c>
      <c r="E70" s="401"/>
      <c r="F70" s="401" t="s">
        <v>53</v>
      </c>
      <c r="G70" s="401"/>
      <c r="H70" s="401" t="s">
        <v>56</v>
      </c>
      <c r="I70" s="401"/>
      <c r="J70" s="401" t="s">
        <v>206</v>
      </c>
      <c r="K70" s="401"/>
      <c r="L70" s="401" t="s">
        <v>207</v>
      </c>
      <c r="M70" s="402"/>
    </row>
    <row r="71" spans="1:13" s="140" customFormat="1" ht="15.75" x14ac:dyDescent="0.25">
      <c r="A71" s="157" t="s">
        <v>246</v>
      </c>
      <c r="B71" s="110"/>
      <c r="C71" s="144"/>
      <c r="D71" s="169"/>
      <c r="E71" s="147"/>
      <c r="F71" s="170"/>
      <c r="G71" s="147"/>
      <c r="H71" s="170"/>
      <c r="I71" s="147"/>
      <c r="J71" s="170"/>
      <c r="K71" s="147"/>
      <c r="L71" s="168"/>
      <c r="M71" s="148"/>
    </row>
    <row r="72" spans="1:13" s="140" customFormat="1" ht="15.75" x14ac:dyDescent="0.25">
      <c r="A72" s="149" t="s">
        <v>247</v>
      </c>
      <c r="B72" s="408">
        <f>(IF(ISNA(VLOOKUP($A$1,'Retro Pay'!$A$5:$AK$51,2,FALSE))=TRUE,"DEPT not Found",VLOOKUP($A$1,'Retro Pay'!$A$5:$AK$51,2,FALSE)))/1000</f>
        <v>12217.534</v>
      </c>
      <c r="C72" s="407"/>
      <c r="D72" s="406"/>
      <c r="E72" s="407"/>
      <c r="F72" s="408"/>
      <c r="G72" s="407"/>
      <c r="H72" s="398">
        <f>(IF(ISNA(VLOOKUP($A$1,'Capital Equipment'!$A$5:$AA$51,2,FALSE))=TRUE,"DEPT not Found",VLOOKUP($A$1,'Capital Equipment'!$A$5:$AA$51,2,FALSE)))</f>
        <v>455</v>
      </c>
      <c r="I72" s="399"/>
      <c r="J72" s="398">
        <f>(IF(ISNA(VLOOKUP($A$1,'Capital Equipment'!$A$5:$AA$51,9,FALSE))=TRUE,"DEPT not Found",VLOOKUP($A$1,'Capital Equipment'!$A$5:$AA$51,9,FALSE)))</f>
        <v>490</v>
      </c>
      <c r="K72" s="399"/>
      <c r="L72" s="398">
        <f>(IF(ISNA(VLOOKUP($A$1,'Capital Equipment'!$A$5:$AA$51,19,FALSE))=TRUE,"DEPT not Found",VLOOKUP($A$1,'Capital Equipment'!$A$5:$AA$51,19,FALSE)))</f>
        <v>518</v>
      </c>
      <c r="M72" s="400"/>
    </row>
    <row r="73" spans="1:13" s="140" customFormat="1" ht="15.75" x14ac:dyDescent="0.25">
      <c r="A73" s="149" t="s">
        <v>249</v>
      </c>
      <c r="B73" s="219">
        <f>(IF(ISNA(VLOOKUP($A$1,'Retro Pay'!$A$5:$AK$51,9,FALSE))=TRUE,"DEPT not Found",VLOOKUP($A$1,'Retro Pay'!$A$5:$AK$51,9,FALSE)))/1000</f>
        <v>1496.499</v>
      </c>
      <c r="C73" s="171">
        <f>IF(ISNA(VLOOKUP($A$1,'Retro Pay'!$A$5:$AK$51,10,FALSE))=TRUE,"DEPT not Found",VLOOKUP($A$1,'Retro Pay'!$A$5:$AK$51,10,FALSE))</f>
        <v>0.12248781137011773</v>
      </c>
      <c r="D73" s="220"/>
      <c r="E73" s="171"/>
      <c r="F73" s="219"/>
      <c r="G73" s="171"/>
      <c r="H73" s="302">
        <f>(IF(ISNA(VLOOKUP($A$1,'Capital Equipment'!$A$5:$AA$51,3,FALSE))=TRUE,"DEPT not Found",VLOOKUP($A$1,'Capital Equipment'!$A$5:$AA$51,3,FALSE)))</f>
        <v>191</v>
      </c>
      <c r="I73" s="303">
        <f>(IF(ISNA(VLOOKUP($A$1,'Capital Equipment'!$A$5:$AA$51,4,FALSE))=TRUE,"DEPT not Found",VLOOKUP($A$1,'Capital Equipment'!$A$5:$AA$51,4,FALSE)))</f>
        <v>0.41978021978021979</v>
      </c>
      <c r="J73" s="302">
        <f>(IF(ISNA(VLOOKUP($A$1,'Capital Equipment'!$A$5:$AA$51,10,FALSE))=TRUE,"DEPT not Found",VLOOKUP($A$1,'Capital Equipment'!$A$5:$AA$51,10,FALSE)))</f>
        <v>198</v>
      </c>
      <c r="K73" s="303">
        <f>(IF(ISNA(VLOOKUP($A$1,'Capital Equipment'!$A$5:$AA$51,11,FALSE))=TRUE,"DEPT not Found",VLOOKUP($A$1,'Capital Equipment'!$A$5:$AA$51,11,FALSE)))</f>
        <v>0.40408163265306124</v>
      </c>
      <c r="L73" s="302">
        <f>(IF(ISNA(VLOOKUP($A$1,'Capital Equipment'!$A$5:$AA$51,20,FALSE))=TRUE,"DEPT not Found",VLOOKUP($A$1,'Capital Equipment'!$A$5:$AA$51,20,FALSE)))</f>
        <v>211</v>
      </c>
      <c r="M73" s="304">
        <f>(IF(ISNA(VLOOKUP($A$1,'Capital Equipment'!$A$5:$AA$51,21,FALSE))=TRUE,"DEPT not Found",VLOOKUP($A$1,'Capital Equipment'!$A$5:$AA$51,21,FALSE)))</f>
        <v>0.40733590733590735</v>
      </c>
    </row>
    <row r="74" spans="1:13" s="140" customFormat="1" ht="15.75" x14ac:dyDescent="0.25">
      <c r="A74" s="149" t="s">
        <v>250</v>
      </c>
      <c r="B74" s="222">
        <f>(IF(ISNA(VLOOKUP($A$1,'Retro Pay'!$A$5:$AK$51,9,FALSE))=TRUE,"DEPT not Found",VLOOKUP($A$1,'Retro Pay'!$A$5:$AK$51,9,FALSE)))/1000</f>
        <v>1496.499</v>
      </c>
      <c r="C74" s="171">
        <f>IF(ISNA(VLOOKUP($A$1,'Retro Pay'!$A$5:$AK$51,10,FALSE))=TRUE,"DEPT not Found",VLOOKUP($A$1,'Retro Pay'!$A$5:$AK$51,10,FALSE))</f>
        <v>0.12248781137011773</v>
      </c>
      <c r="D74" s="221"/>
      <c r="E74" s="171"/>
      <c r="F74" s="222"/>
      <c r="G74" s="171"/>
      <c r="H74" s="302"/>
      <c r="I74" s="305"/>
      <c r="J74" s="146">
        <f>(IF(ISNA(VLOOKUP($A$1,'Capital Equipment'!$A$5:$AA$51,12,FALSE))=TRUE,"DEPT not Found",VLOOKUP($A$1,'Capital Equipment'!$A$5:$AA$51,12,FALSE)))</f>
        <v>386</v>
      </c>
      <c r="K74" s="171">
        <f>(IF(ISNA(VLOOKUP($A$1,'Capital Equipment'!$A$5:$AA$51,18,FALSE))=TRUE,"DEPT not Found",VLOOKUP($A$1,'Capital Equipment'!$A$5:$AA$51,18,FALSE)))</f>
        <v>0.78775510204081634</v>
      </c>
      <c r="L74" s="146">
        <f>(IF(ISNA(VLOOKUP($A$1,'Capital Equipment'!$A$5:$AA$51,22,FALSE))=TRUE,"DEPT not Found",VLOOKUP($A$1,'Capital Equipment'!$A$5:$AA$51,22,FALSE)))</f>
        <v>2</v>
      </c>
      <c r="M74" s="172">
        <f>(IF(ISNA(VLOOKUP($A$1,'Capital Equipment'!$A$5:$AB$51,28,FALSE))=TRUE,"DEPT not Found",VLOOKUP($A$1,'Capital Equipment'!$A$5:$AB$51,28,FALSE)))</f>
        <v>3.8610038610038611E-3</v>
      </c>
    </row>
    <row r="75" spans="1:13" s="140" customFormat="1" ht="7.15" customHeight="1" x14ac:dyDescent="0.25">
      <c r="A75" s="173"/>
      <c r="B75" s="110"/>
      <c r="C75" s="144"/>
      <c r="D75" s="169"/>
      <c r="E75" s="147"/>
      <c r="F75" s="170"/>
      <c r="G75" s="147"/>
      <c r="H75" s="306"/>
      <c r="I75" s="307"/>
      <c r="J75" s="306"/>
      <c r="K75" s="307"/>
      <c r="L75" s="308"/>
      <c r="M75" s="309"/>
    </row>
    <row r="76" spans="1:13" s="140" customFormat="1" ht="15.75" x14ac:dyDescent="0.25">
      <c r="A76" s="157" t="s">
        <v>251</v>
      </c>
      <c r="B76" s="110"/>
      <c r="C76" s="144"/>
      <c r="D76" s="169"/>
      <c r="E76" s="147"/>
      <c r="F76" s="170"/>
      <c r="G76" s="147"/>
      <c r="H76" s="306"/>
      <c r="I76" s="307"/>
      <c r="J76" s="306"/>
      <c r="K76" s="307"/>
      <c r="L76" s="308"/>
      <c r="M76" s="309"/>
    </row>
    <row r="77" spans="1:13" s="140" customFormat="1" ht="18.75" customHeight="1" x14ac:dyDescent="0.25">
      <c r="A77" s="149" t="s">
        <v>252</v>
      </c>
      <c r="B77" s="110"/>
      <c r="C77" s="144"/>
      <c r="D77" s="406"/>
      <c r="E77" s="407"/>
      <c r="F77" s="406"/>
      <c r="G77" s="407"/>
      <c r="H77" s="302">
        <f>(IF(ISNA(VLOOKUP($A$1,'Capital Equipment'!$A$5:$AA$51,5,FALSE))=TRUE,"DEPT not Found",VLOOKUP($A$1,'Capital Equipment'!$A$5:$AA$51,5,FALSE)))</f>
        <v>122</v>
      </c>
      <c r="I77" s="303">
        <f>(IF(ISNA(VLOOKUP($A$1,'Capital Equipment'!$A$5:$AA$51,6,FALSE))=TRUE,"DEPT not Found",VLOOKUP($A$1,'Capital Equipment'!$A$5:$AA$51,6,FALSE)))</f>
        <v>0.26813186813186812</v>
      </c>
      <c r="J77" s="302">
        <f>(IF(ISNA(VLOOKUP($A$1,'Capital Equipment'!$A$5:$AA$51,13,FALSE))=TRUE,"DEPT not Found",VLOOKUP($A$1,'Capital Equipment'!$A$5:$AA$51,13,FALSE)))</f>
        <v>121</v>
      </c>
      <c r="K77" s="303">
        <f>(IF(ISNA(VLOOKUP($A$1,'Capital Equipment'!$A$5:$AA$51,14,FALSE))=TRUE,"DEPT not Found",VLOOKUP($A$1,'Capital Equipment'!$A$5:$AA$51,14,FALSE)))</f>
        <v>0.24693877551020407</v>
      </c>
      <c r="L77" s="302">
        <f>(IF(ISNA(VLOOKUP($A$1,'Capital Equipment'!$A$5:$AA$51,23,FALSE))=TRUE,"DEPT not Found",VLOOKUP($A$1,'Capital Equipment'!$A$5:$AA$51,23,FALSE)))</f>
        <v>128</v>
      </c>
      <c r="M77" s="304">
        <f>(IF(ISNA(VLOOKUP($A$1,'Capital Equipment'!$A$5:$AA$51,24,FALSE))=TRUE,"DEPT not Found",VLOOKUP($A$1,'Capital Equipment'!$A$5:$AA$51,24,FALSE)))</f>
        <v>0.24710424710424711</v>
      </c>
    </row>
    <row r="78" spans="1:13" s="140" customFormat="1" ht="15.75" x14ac:dyDescent="0.25">
      <c r="A78" s="149" t="s">
        <v>253</v>
      </c>
      <c r="B78" s="110"/>
      <c r="C78" s="144"/>
      <c r="D78" s="220"/>
      <c r="E78" s="171"/>
      <c r="F78" s="220"/>
      <c r="G78" s="171"/>
      <c r="H78" s="302">
        <f>(IF(ISNA(VLOOKUP($A$1,'Capital Equipment'!$A$5:$AA$51,7,FALSE))=TRUE,"DEPT not Found",VLOOKUP($A$1,'Capital Equipment'!$A$5:$AA$51,7,FALSE)))</f>
        <v>21</v>
      </c>
      <c r="I78" s="303">
        <f>(IF(ISNA(VLOOKUP($A$1,'Capital Equipment'!$A$5:$AA$51,8,FALSE))=TRUE,"DEPT not Found",VLOOKUP($A$1,'Capital Equipment'!$A$5:$AA$51,8,FALSE)))</f>
        <v>0.1721311475409836</v>
      </c>
      <c r="J78" s="302">
        <f>(IF(ISNA(VLOOKUP($A$1,'Capital Equipment'!$A$5:$AA$51,15,FALSE))=TRUE,"DEPT not Found",VLOOKUP($A$1,'Capital Equipment'!$A$5:$AA$51,15,FALSE)))</f>
        <v>19</v>
      </c>
      <c r="K78" s="303">
        <f>(IF(ISNA(VLOOKUP($A$1,'Capital Equipment'!$A$5:$AA$51,16,FALSE))=TRUE,"DEPT not Found",VLOOKUP($A$1,'Capital Equipment'!$A$5:$AA$51,16,FALSE)))</f>
        <v>0.15702479338842976</v>
      </c>
      <c r="L78" s="302">
        <f>(IF(ISNA(VLOOKUP($A$1,'Capital Equipment'!$A$5:$AA$51,25,FALSE))=TRUE,"DEPT not Found",VLOOKUP($A$1,'Capital Equipment'!$A$5:$AA$51,25,FALSE)))</f>
        <v>28</v>
      </c>
      <c r="M78" s="304">
        <f>(IF(ISNA(VLOOKUP($A$1,'Capital Equipment'!$A$5:$AA$51,26,FALSE))=TRUE,"DEPT not Found",VLOOKUP($A$1,'Capital Equipment'!$A$5:$AA$51,26,FALSE)))</f>
        <v>0.21875</v>
      </c>
    </row>
    <row r="79" spans="1:13" s="140" customFormat="1" ht="15.75" x14ac:dyDescent="0.25">
      <c r="A79" s="149" t="s">
        <v>254</v>
      </c>
      <c r="B79" s="110"/>
      <c r="C79" s="144"/>
      <c r="D79" s="220"/>
      <c r="E79" s="171"/>
      <c r="F79" s="220"/>
      <c r="G79" s="171"/>
      <c r="H79" s="302"/>
      <c r="I79" s="305"/>
      <c r="J79" s="398">
        <f>(IF(ISNA(VLOOKUP($A$1,'Capital Equipment'!$A$5:$AA$51,17,FALSE))=TRUE,"DEPT not Found",VLOOKUP($A$1,'Capital Equipment'!$A$5:$AA$51,17,FALSE)))</f>
        <v>101</v>
      </c>
      <c r="K79" s="399"/>
      <c r="L79" s="398">
        <f>(IF(ISNA(VLOOKUP($A$1,'Capital Equipment'!$A$5:$AA$51,27,FALSE))=TRUE,"DEPT not Found",VLOOKUP($A$1,'Capital Equipment'!$A$5:$AA$51,27,FALSE)))</f>
        <v>0</v>
      </c>
      <c r="M79" s="400">
        <f>(IF(ISNA(VLOOKUP($A$1,'Capital Equipment'!$A$5:$AA$51,19,FALSE))=TRUE,"DEPT not Found",VLOOKUP($A$1,'Capital Equipment'!$A$5:$AA$51,19,FALSE)))</f>
        <v>518</v>
      </c>
    </row>
    <row r="80" spans="1:13" s="140" customFormat="1" ht="15.75" x14ac:dyDescent="0.25">
      <c r="A80" s="149"/>
      <c r="B80" s="110"/>
      <c r="C80" s="144"/>
      <c r="D80" s="221"/>
      <c r="E80" s="171"/>
      <c r="F80" s="221"/>
      <c r="G80" s="171"/>
      <c r="H80" s="146"/>
      <c r="I80" s="231"/>
      <c r="J80" s="176"/>
      <c r="K80" s="232"/>
      <c r="L80" s="146"/>
      <c r="M80" s="233"/>
    </row>
    <row r="81" spans="1:13" s="140" customFormat="1" ht="7.15" customHeight="1" x14ac:dyDescent="0.25">
      <c r="A81" s="173"/>
      <c r="B81" s="110"/>
      <c r="C81" s="144"/>
      <c r="D81" s="169"/>
      <c r="E81" s="147"/>
      <c r="F81" s="170"/>
      <c r="G81" s="147"/>
      <c r="H81" s="170"/>
      <c r="I81" s="147"/>
      <c r="J81" s="170"/>
      <c r="K81" s="147"/>
      <c r="L81" s="168"/>
      <c r="M81" s="148"/>
    </row>
    <row r="82" spans="1:13" s="140" customFormat="1" ht="7.15" customHeight="1" thickBot="1" x14ac:dyDescent="0.3">
      <c r="A82" s="164"/>
      <c r="B82" s="165"/>
      <c r="C82" s="165"/>
      <c r="D82" s="165"/>
      <c r="E82" s="165"/>
      <c r="F82" s="165"/>
      <c r="G82" s="165"/>
      <c r="H82" s="165"/>
      <c r="I82" s="165"/>
      <c r="J82" s="165"/>
      <c r="K82" s="165"/>
      <c r="L82" s="165"/>
      <c r="M82" s="166"/>
    </row>
    <row r="83" spans="1:13" s="140" customFormat="1" ht="16.5" thickBot="1" x14ac:dyDescent="0.3">
      <c r="F83" s="168"/>
      <c r="G83" s="168"/>
      <c r="H83" s="168"/>
      <c r="I83" s="168"/>
      <c r="J83" s="168"/>
      <c r="K83" s="168"/>
      <c r="L83" s="168"/>
      <c r="M83" s="168"/>
    </row>
    <row r="84" spans="1:13" s="140" customFormat="1" ht="18.75" x14ac:dyDescent="0.3">
      <c r="A84" s="403" t="s">
        <v>232</v>
      </c>
      <c r="B84" s="404"/>
      <c r="C84" s="404"/>
      <c r="D84" s="404"/>
      <c r="E84" s="404"/>
      <c r="F84" s="404"/>
      <c r="G84" s="404"/>
      <c r="H84" s="404"/>
      <c r="I84" s="404"/>
      <c r="J84" s="404"/>
      <c r="K84" s="404"/>
      <c r="L84" s="404"/>
      <c r="M84" s="405"/>
    </row>
    <row r="85" spans="1:13" s="140" customFormat="1" ht="15.75" x14ac:dyDescent="0.25">
      <c r="A85" s="197"/>
      <c r="B85" s="401" t="s">
        <v>55</v>
      </c>
      <c r="C85" s="401"/>
      <c r="D85" s="401" t="s">
        <v>54</v>
      </c>
      <c r="E85" s="401"/>
      <c r="F85" s="401" t="s">
        <v>53</v>
      </c>
      <c r="G85" s="401"/>
      <c r="H85" s="401" t="s">
        <v>56</v>
      </c>
      <c r="I85" s="401"/>
      <c r="J85" s="401" t="s">
        <v>206</v>
      </c>
      <c r="K85" s="401"/>
      <c r="L85" s="401" t="s">
        <v>207</v>
      </c>
      <c r="M85" s="402"/>
    </row>
    <row r="86" spans="1:13" s="140" customFormat="1" ht="15.75" x14ac:dyDescent="0.25">
      <c r="A86" s="218" t="s">
        <v>221</v>
      </c>
      <c r="B86" s="409">
        <f>(IF(ISNA(VLOOKUP($A$1,'Gift Funds'!$A$5:$AC$51,2,FALSE))=TRUE,"DEPT not Found",VLOOKUP($A$1,'Gift Funds'!$A$5:$AC$51,2,FALSE))/1000)</f>
        <v>3474.4156499999999</v>
      </c>
      <c r="C86" s="410"/>
      <c r="D86" s="395" t="str">
        <f>IF(ISNA(VLOOKUP($A$1,'Certification Responses'!$A$5:$BB$51,2,FALSE))=TRUE,"DEPT not Found",VLOOKUP($A$1,'Certification Responses'!$A$5:$BB$51,2,FALSE))</f>
        <v>Y</v>
      </c>
      <c r="E86" s="396">
        <f>(IF(ISNA(VLOOKUP($A$1,'Gift Funds'!$A$5:$AC$51,12,FALSE))=TRUE,"DEPT not Found",VLOOKUP($A$1,'Gift Funds'!$A$5:$AC$51,12,FALSE))/1000)*-1</f>
        <v>40.689129999999999</v>
      </c>
      <c r="F86" s="395" t="str">
        <f>IF(ISNA(VLOOKUP($A$1,'Certification Responses'!$A$5:$BB$51,3,FALSE))=TRUE,"DEPT not Found",VLOOKUP($A$1,'Certification Responses'!$A$5:$BB$51,3,FALSE))</f>
        <v>Y</v>
      </c>
      <c r="G86" s="396">
        <f>(IF(ISNA(VLOOKUP($A$1,'Gift Funds'!$A$5:$AC$51,12,FALSE))=TRUE,"DEPT not Found",VLOOKUP($A$1,'Gift Funds'!$A$5:$AC$51,12,FALSE))/1000)*-1</f>
        <v>40.689129999999999</v>
      </c>
      <c r="H86" s="395" t="str">
        <f>IF(ISNA(VLOOKUP($A$1,'Certification Responses'!$A$5:$BB$51,4,FALSE))=TRUE,"DEPT not Found",VLOOKUP($A$1,'Certification Responses'!$A$5:$BB$51,4,FALSE))</f>
        <v>Y</v>
      </c>
      <c r="I86" s="396">
        <f>(IF(ISNA(VLOOKUP($A$1,'Gift Funds'!$A$5:$AC$51,12,FALSE))=TRUE,"DEPT not Found",VLOOKUP($A$1,'Gift Funds'!$A$5:$AC$51,12,FALSE))/1000)*-1</f>
        <v>40.689129999999999</v>
      </c>
      <c r="J86" s="395" t="str">
        <f>IF(ISNA(VLOOKUP($A$1,'Certification Responses'!$A$5:$BB$51,5,FALSE))=TRUE,"DEPT not Found",VLOOKUP($A$1,'Certification Responses'!$A$5:$BB$51,5,FALSE))</f>
        <v>Y</v>
      </c>
      <c r="K86" s="396">
        <f>(IF(ISNA(VLOOKUP($A$1,'Gift Funds'!$A$5:$AC$51,12,FALSE))=TRUE,"DEPT not Found",VLOOKUP($A$1,'Gift Funds'!$A$5:$AC$51,12,FALSE))/1000)*-1</f>
        <v>40.689129999999999</v>
      </c>
      <c r="L86" s="395" t="str">
        <f>IF(ISNA(VLOOKUP($A$1,'Certification Responses'!$A$5:$BB$51,6,FALSE))=TRUE,"DEPT not Found",VLOOKUP($A$1,'Certification Responses'!$A$5:$BB$51,6,FALSE))</f>
        <v xml:space="preserve"> </v>
      </c>
      <c r="M86" s="397">
        <f>(IF(ISNA(VLOOKUP($A$1,'Gift Funds'!$A$5:$AC$51,12,FALSE))=TRUE,"DEPT not Found",VLOOKUP($A$1,'Gift Funds'!$A$5:$AC$51,12,FALSE))/1000)*-1</f>
        <v>40.689129999999999</v>
      </c>
    </row>
    <row r="87" spans="1:13" s="140" customFormat="1" ht="15.75" x14ac:dyDescent="0.25">
      <c r="A87" s="218" t="s">
        <v>223</v>
      </c>
      <c r="B87" s="146">
        <f>IF(ISNA(VLOOKUP($A$1,'Gift Funds'!$A$5:$AC$51,9,FALSE))=TRUE,"DEPT not Found",VLOOKUP($A$1,'Gift Funds'!$A$5:$AC$51,9,FALSE))</f>
        <v>4</v>
      </c>
      <c r="C87" s="215">
        <f>(IF(ISNA(VLOOKUP($A$1,'Gift Funds'!$A$5:$AC$51,10,FALSE))=TRUE,"DEPT not Found",VLOOKUP($A$1,'Gift Funds'!$A$5:$AC$51,10,FALSE))/1000)*-1</f>
        <v>52.29242</v>
      </c>
      <c r="D87" s="395" t="str">
        <f>IF(ISNA(VLOOKUP($A$1,'Certification Responses'!$A$5:$BB$51,8,FALSE))=TRUE,"DEPT not Found",VLOOKUP($A$1,'Certification Responses'!$A$5:$BB$51,8,FALSE))</f>
        <v>Y</v>
      </c>
      <c r="E87" s="396">
        <f>(IF(ISNA(VLOOKUP($A$1,'Gift Funds'!$A$5:$AC$51,12,FALSE))=TRUE,"DEPT not Found",VLOOKUP($A$1,'Gift Funds'!$A$5:$AC$51,12,FALSE))/1000)*-1</f>
        <v>40.689129999999999</v>
      </c>
      <c r="F87" s="395" t="str">
        <f>IF(ISNA(VLOOKUP($A$1,'Certification Responses'!$A$5:$BB$51,9,FALSE))=TRUE,"DEPT not Found",VLOOKUP($A$1,'Certification Responses'!$A$5:$BB$51,9,FALSE))</f>
        <v>Y</v>
      </c>
      <c r="G87" s="396">
        <f>(IF(ISNA(VLOOKUP($A$1,'Gift Funds'!$A$5:$AC$51,12,FALSE))=TRUE,"DEPT not Found",VLOOKUP($A$1,'Gift Funds'!$A$5:$AC$51,12,FALSE))/1000)*-1</f>
        <v>40.689129999999999</v>
      </c>
      <c r="H87" s="395" t="str">
        <f>IF(ISNA(VLOOKUP($A$1,'Certification Responses'!$A$5:$BB$51,10,FALSE))=TRUE,"DEPT not Found",VLOOKUP($A$1,'Certification Responses'!$A$5:$BB$51,10,FALSE))</f>
        <v>*</v>
      </c>
      <c r="I87" s="396">
        <f>(IF(ISNA(VLOOKUP($A$1,'Gift Funds'!$A$5:$AC$51,12,FALSE))=TRUE,"DEPT not Found",VLOOKUP($A$1,'Gift Funds'!$A$5:$AC$51,12,FALSE))/1000)*-1</f>
        <v>40.689129999999999</v>
      </c>
      <c r="J87" s="395" t="str">
        <f>IF(ISNA(VLOOKUP($A$1,'Certification Responses'!$A$5:$BB$51,11,FALSE))=TRUE,"DEPT not Found",VLOOKUP($A$1,'Certification Responses'!$A$5:$BB$51,11,FALSE))</f>
        <v>Y</v>
      </c>
      <c r="K87" s="396">
        <f>(IF(ISNA(VLOOKUP($A$1,'Gift Funds'!$A$5:$AC$51,12,FALSE))=TRUE,"DEPT not Found",VLOOKUP($A$1,'Gift Funds'!$A$5:$AC$51,12,FALSE))/1000)*-1</f>
        <v>40.689129999999999</v>
      </c>
      <c r="L87" s="395" t="str">
        <f>IF(ISNA(VLOOKUP($A$1,'Certification Responses'!$A$5:$BB$51,12,FALSE))=TRUE,"DEPT not Found",VLOOKUP($A$1,'Certification Responses'!$A$5:$BB$51,12,FALSE))</f>
        <v>*</v>
      </c>
      <c r="M87" s="397">
        <f>(IF(ISNA(VLOOKUP($A$1,'Gift Funds'!$A$5:$AC$51,12,FALSE))=TRUE,"DEPT not Found",VLOOKUP($A$1,'Gift Funds'!$A$5:$AC$51,12,FALSE))/1000)*-1</f>
        <v>40.689129999999999</v>
      </c>
    </row>
    <row r="88" spans="1:13" s="140" customFormat="1" ht="15.75" x14ac:dyDescent="0.25">
      <c r="A88" s="218" t="s">
        <v>224</v>
      </c>
      <c r="B88" s="146"/>
      <c r="C88" s="215"/>
      <c r="D88" s="395" t="str">
        <f>IF(ISNA(VLOOKUP($A$1,'Certification Responses'!$A$5:$BB$51,14,FALSE))=TRUE,"DEPT not Found",VLOOKUP($A$1,'Certification Responses'!$A$5:$BB$51,14,FALSE))</f>
        <v>Y</v>
      </c>
      <c r="E88" s="396">
        <f>(IF(ISNA(VLOOKUP($A$1,'Gift Funds'!$A$5:$AC$51,12,FALSE))=TRUE,"DEPT not Found",VLOOKUP($A$1,'Gift Funds'!$A$5:$AC$51,12,FALSE))/1000)*-1</f>
        <v>40.689129999999999</v>
      </c>
      <c r="F88" s="395" t="str">
        <f>IF(ISNA(VLOOKUP($A$1,'Certification Responses'!$A$5:$BB$51,15,FALSE))=TRUE,"DEPT not Found",VLOOKUP($A$1,'Certification Responses'!$A$5:$BB$51,15,FALSE))</f>
        <v>*</v>
      </c>
      <c r="G88" s="396">
        <f>(IF(ISNA(VLOOKUP($A$1,'Gift Funds'!$A$5:$AC$51,12,FALSE))=TRUE,"DEPT not Found",VLOOKUP($A$1,'Gift Funds'!$A$5:$AC$51,12,FALSE))/1000)*-1</f>
        <v>40.689129999999999</v>
      </c>
      <c r="H88" s="395" t="str">
        <f>IF(ISNA(VLOOKUP($A$1,'Certification Responses'!$A$5:$BB$51,16,FALSE))=TRUE,"DEPT not Found",VLOOKUP($A$1,'Certification Responses'!$A$5:$BB$51,16,FALSE))</f>
        <v>Y</v>
      </c>
      <c r="I88" s="396">
        <f>(IF(ISNA(VLOOKUP($A$1,'Gift Funds'!$A$5:$AC$51,12,FALSE))=TRUE,"DEPT not Found",VLOOKUP($A$1,'Gift Funds'!$A$5:$AC$51,12,FALSE))/1000)*-1</f>
        <v>40.689129999999999</v>
      </c>
      <c r="J88" s="395" t="str">
        <f>IF(ISNA(VLOOKUP($A$1,'Certification Responses'!$A$5:$BB$51,17,FALSE))=TRUE,"DEPT not Found",VLOOKUP($A$1,'Certification Responses'!$A$5:$BB$51,17,FALSE))</f>
        <v>*</v>
      </c>
      <c r="K88" s="396">
        <f>(IF(ISNA(VLOOKUP($A$1,'Gift Funds'!$A$5:$AC$51,12,FALSE))=TRUE,"DEPT not Found",VLOOKUP($A$1,'Gift Funds'!$A$5:$AC$51,12,FALSE))/1000)*-1</f>
        <v>40.689129999999999</v>
      </c>
      <c r="L88" s="395" t="str">
        <f>IF(ISNA(VLOOKUP($A$1,'Certification Responses'!$A$5:$BB$51,18,FALSE))=TRUE,"DEPT not Found",VLOOKUP($A$1,'Certification Responses'!$A$5:$BB$51,18,FALSE))</f>
        <v xml:space="preserve"> </v>
      </c>
      <c r="M88" s="397">
        <f>(IF(ISNA(VLOOKUP($A$1,'Gift Funds'!$A$5:$AC$51,12,FALSE))=TRUE,"DEPT not Found",VLOOKUP($A$1,'Gift Funds'!$A$5:$AC$51,12,FALSE))/1000)*-1</f>
        <v>40.689129999999999</v>
      </c>
    </row>
    <row r="89" spans="1:13" s="140" customFormat="1" ht="15.75" x14ac:dyDescent="0.25">
      <c r="A89" s="218" t="s">
        <v>226</v>
      </c>
      <c r="B89" s="146"/>
      <c r="C89" s="215"/>
      <c r="D89" s="395" t="str">
        <f>IF(ISNA(VLOOKUP($A$1,'Certification Responses'!$A$5:$BB$51,20,FALSE))=TRUE,"DEPT not Found",VLOOKUP($A$1,'Certification Responses'!$A$5:$BB$51,20,FALSE))</f>
        <v>Y</v>
      </c>
      <c r="E89" s="396">
        <f>(IF(ISNA(VLOOKUP($A$1,'Gift Funds'!$A$5:$AC$51,12,FALSE))=TRUE,"DEPT not Found",VLOOKUP($A$1,'Gift Funds'!$A$5:$AC$51,12,FALSE))/1000)*-1</f>
        <v>40.689129999999999</v>
      </c>
      <c r="F89" s="395" t="str">
        <f>IF(ISNA(VLOOKUP($A$1,'Certification Responses'!$A$5:$BB$51,21,FALSE))=TRUE,"DEPT not Found",VLOOKUP($A$1,'Certification Responses'!$A$5:$BB$51,21,FALSE))</f>
        <v>Y</v>
      </c>
      <c r="G89" s="396">
        <f>(IF(ISNA(VLOOKUP($A$1,'Gift Funds'!$A$5:$AC$51,12,FALSE))=TRUE,"DEPT not Found",VLOOKUP($A$1,'Gift Funds'!$A$5:$AC$51,12,FALSE))/1000)*-1</f>
        <v>40.689129999999999</v>
      </c>
      <c r="H89" s="395" t="str">
        <f>IF(ISNA(VLOOKUP($A$1,'Certification Responses'!$A$5:$BB$51,22,FALSE))=TRUE,"DEPT not Found",VLOOKUP($A$1,'Certification Responses'!$A$5:$BB$51,22,FALSE))</f>
        <v>Y</v>
      </c>
      <c r="I89" s="396">
        <f>(IF(ISNA(VLOOKUP($A$1,'Gift Funds'!$A$5:$AC$51,12,FALSE))=TRUE,"DEPT not Found",VLOOKUP($A$1,'Gift Funds'!$A$5:$AC$51,12,FALSE))/1000)*-1</f>
        <v>40.689129999999999</v>
      </c>
      <c r="J89" s="395" t="str">
        <f>IF(ISNA(VLOOKUP($A$1,'Certification Responses'!$A$5:$BB$51,23,FALSE))=TRUE,"DEPT not Found",VLOOKUP($A$1,'Certification Responses'!$A$5:$BB$51,23,FALSE))</f>
        <v>N/A</v>
      </c>
      <c r="K89" s="396">
        <f>(IF(ISNA(VLOOKUP($A$1,'Gift Funds'!$A$5:$AC$51,12,FALSE))=TRUE,"DEPT not Found",VLOOKUP($A$1,'Gift Funds'!$A$5:$AC$51,12,FALSE))/1000)*-1</f>
        <v>40.689129999999999</v>
      </c>
      <c r="L89" s="395" t="str">
        <f>IF(ISNA(VLOOKUP($A$1,'Certification Responses'!$A$5:$BB$51,24,FALSE))=TRUE,"DEPT not Found",VLOOKUP($A$1,'Certification Responses'!$A$5:$BB$51,24,FALSE))</f>
        <v xml:space="preserve"> </v>
      </c>
      <c r="M89" s="397">
        <f>(IF(ISNA(VLOOKUP($A$1,'Gift Funds'!$A$5:$AC$51,12,FALSE))=TRUE,"DEPT not Found",VLOOKUP($A$1,'Gift Funds'!$A$5:$AC$51,12,FALSE))/1000)*-1</f>
        <v>40.689129999999999</v>
      </c>
    </row>
    <row r="90" spans="1:13" s="140" customFormat="1" ht="15.75" x14ac:dyDescent="0.25">
      <c r="A90" s="218" t="s">
        <v>225</v>
      </c>
      <c r="B90" s="146"/>
      <c r="C90" s="215"/>
      <c r="D90" s="395" t="str">
        <f>IF(ISNA(VLOOKUP($A$1,'Certification Responses'!$A$5:$BB$51,26,FALSE))=TRUE,"DEPT not Found",VLOOKUP($A$1,'Certification Responses'!$A$5:$BB$51,26,FALSE))</f>
        <v>Y</v>
      </c>
      <c r="E90" s="396">
        <f>(IF(ISNA(VLOOKUP($A$1,'Gift Funds'!$A$5:$AC$51,12,FALSE))=TRUE,"DEPT not Found",VLOOKUP($A$1,'Gift Funds'!$A$5:$AC$51,12,FALSE))/1000)*-1</f>
        <v>40.689129999999999</v>
      </c>
      <c r="F90" s="395" t="str">
        <f>IF(ISNA(VLOOKUP($A$1,'Certification Responses'!$A$5:$BB$51,27,FALSE))=TRUE,"DEPT not Found",VLOOKUP($A$1,'Certification Responses'!$A$5:$BB$51,27,FALSE))</f>
        <v>Y</v>
      </c>
      <c r="G90" s="396">
        <f>(IF(ISNA(VLOOKUP($A$1,'Gift Funds'!$A$5:$AC$51,12,FALSE))=TRUE,"DEPT not Found",VLOOKUP($A$1,'Gift Funds'!$A$5:$AC$51,12,FALSE))/1000)*-1</f>
        <v>40.689129999999999</v>
      </c>
      <c r="H90" s="395" t="str">
        <f>IF(ISNA(VLOOKUP($A$1,'Certification Responses'!$A$5:$BB$51,28,FALSE))=TRUE,"DEPT not Found",VLOOKUP($A$1,'Certification Responses'!$A$5:$BB$51,28,FALSE))</f>
        <v>*</v>
      </c>
      <c r="I90" s="396">
        <f>(IF(ISNA(VLOOKUP($A$1,'Gift Funds'!$A$5:$AC$51,12,FALSE))=TRUE,"DEPT not Found",VLOOKUP($A$1,'Gift Funds'!$A$5:$AC$51,12,FALSE))/1000)*-1</f>
        <v>40.689129999999999</v>
      </c>
      <c r="J90" s="395" t="str">
        <f>IF(ISNA(VLOOKUP($A$1,'Certification Responses'!$A$5:$BB$51,29,FALSE))=TRUE,"DEPT not Found",VLOOKUP($A$1,'Certification Responses'!$A$5:$BB$51,29,FALSE))</f>
        <v>Y</v>
      </c>
      <c r="K90" s="396">
        <f>(IF(ISNA(VLOOKUP($A$1,'Gift Funds'!$A$5:$AC$51,12,FALSE))=TRUE,"DEPT not Found",VLOOKUP($A$1,'Gift Funds'!$A$5:$AC$51,12,FALSE))/1000)*-1</f>
        <v>40.689129999999999</v>
      </c>
      <c r="L90" s="395" t="str">
        <f>IF(ISNA(VLOOKUP($A$1,'Certification Responses'!$A$5:$BB$51,30,FALSE))=TRUE,"DEPT not Found",VLOOKUP($A$1,'Certification Responses'!$A$5:$BB$51,30,FALSE))</f>
        <v>*</v>
      </c>
      <c r="M90" s="397">
        <f>(IF(ISNA(VLOOKUP($A$1,'Gift Funds'!$A$5:$AC$51,12,FALSE))=TRUE,"DEPT not Found",VLOOKUP($A$1,'Gift Funds'!$A$5:$AC$51,12,FALSE))/1000)*-1</f>
        <v>40.689129999999999</v>
      </c>
    </row>
    <row r="91" spans="1:13" s="140" customFormat="1" ht="15.75" x14ac:dyDescent="0.25">
      <c r="A91" s="218" t="s">
        <v>227</v>
      </c>
      <c r="B91" s="146"/>
      <c r="C91" s="215"/>
      <c r="D91" s="395" t="str">
        <f>IF(ISNA(VLOOKUP($A$1,'Certification Responses'!$A$5:$BB$51,32,FALSE))=TRUE,"DEPT not Found",VLOOKUP($A$1,'Certification Responses'!$A$5:$BB$51,32,FALSE))</f>
        <v>Y</v>
      </c>
      <c r="E91" s="396">
        <f>(IF(ISNA(VLOOKUP($A$1,'Gift Funds'!$A$5:$AC$51,12,FALSE))=TRUE,"DEPT not Found",VLOOKUP($A$1,'Gift Funds'!$A$5:$AC$51,12,FALSE))/1000)*-1</f>
        <v>40.689129999999999</v>
      </c>
      <c r="F91" s="395" t="str">
        <f>IF(ISNA(VLOOKUP($A$1,'Certification Responses'!$A$5:$BB$51,33,FALSE))=TRUE,"DEPT not Found",VLOOKUP($A$1,'Certification Responses'!$A$5:$BB$51,33,FALSE))</f>
        <v>Y</v>
      </c>
      <c r="G91" s="396">
        <f>(IF(ISNA(VLOOKUP($A$1,'Gift Funds'!$A$5:$AC$51,12,FALSE))=TRUE,"DEPT not Found",VLOOKUP($A$1,'Gift Funds'!$A$5:$AC$51,12,FALSE))/1000)*-1</f>
        <v>40.689129999999999</v>
      </c>
      <c r="H91" s="395" t="str">
        <f>IF(ISNA(VLOOKUP($A$1,'Certification Responses'!$A$5:$BB$51,34,FALSE))=TRUE,"DEPT not Found",VLOOKUP($A$1,'Certification Responses'!$A$5:$BB$51,34,FALSE))</f>
        <v>Y</v>
      </c>
      <c r="I91" s="396">
        <f>(IF(ISNA(VLOOKUP($A$1,'Gift Funds'!$A$5:$AC$51,12,FALSE))=TRUE,"DEPT not Found",VLOOKUP($A$1,'Gift Funds'!$A$5:$AC$51,12,FALSE))/1000)*-1</f>
        <v>40.689129999999999</v>
      </c>
      <c r="J91" s="395" t="str">
        <f>IF(ISNA(VLOOKUP($A$1,'Certification Responses'!$A$5:$BB$51,35,FALSE))=TRUE,"DEPT not Found",VLOOKUP($A$1,'Certification Responses'!$A$5:$BB$51,35,FALSE))</f>
        <v>*</v>
      </c>
      <c r="K91" s="396">
        <f>(IF(ISNA(VLOOKUP($A$1,'Gift Funds'!$A$5:$AC$51,12,FALSE))=TRUE,"DEPT not Found",VLOOKUP($A$1,'Gift Funds'!$A$5:$AC$51,12,FALSE))/1000)*-1</f>
        <v>40.689129999999999</v>
      </c>
      <c r="L91" s="395" t="str">
        <f>IF(ISNA(VLOOKUP($A$1,'Certification Responses'!$A$5:$BB$51,36,FALSE))=TRUE,"DEPT not Found",VLOOKUP($A$1,'Certification Responses'!$A$5:$BB$51,36,FALSE))</f>
        <v xml:space="preserve"> </v>
      </c>
      <c r="M91" s="397">
        <f>(IF(ISNA(VLOOKUP($A$1,'Gift Funds'!$A$5:$AC$51,12,FALSE))=TRUE,"DEPT not Found",VLOOKUP($A$1,'Gift Funds'!$A$5:$AC$51,12,FALSE))/1000)*-1</f>
        <v>40.689129999999999</v>
      </c>
    </row>
    <row r="92" spans="1:13" s="140" customFormat="1" ht="15.75" x14ac:dyDescent="0.25">
      <c r="A92" s="218" t="s">
        <v>233</v>
      </c>
      <c r="B92" s="146"/>
      <c r="C92" s="215"/>
      <c r="D92" s="395" t="str">
        <f>IF(ISNA(VLOOKUP($A$1,'Certification Responses'!$A$5:$BB$51,38,FALSE))=TRUE,"DEPT not Found",VLOOKUP($A$1,'Certification Responses'!$A$5:$BB$51,38,FALSE))</f>
        <v>N/A</v>
      </c>
      <c r="E92" s="396">
        <f>(IF(ISNA(VLOOKUP($A$1,'Gift Funds'!$A$5:$AC$51,12,FALSE))=TRUE,"DEPT not Found",VLOOKUP($A$1,'Gift Funds'!$A$5:$AC$51,12,FALSE))/1000)*-1</f>
        <v>40.689129999999999</v>
      </c>
      <c r="F92" s="395" t="str">
        <f>IF(ISNA(VLOOKUP($A$1,'Certification Responses'!$A$5:$BB$51,39,FALSE))=TRUE,"DEPT not Found",VLOOKUP($A$1,'Certification Responses'!$A$5:$BB$51,39,FALSE))</f>
        <v>N/A</v>
      </c>
      <c r="G92" s="396">
        <f>(IF(ISNA(VLOOKUP($A$1,'Gift Funds'!$A$5:$AC$51,12,FALSE))=TRUE,"DEPT not Found",VLOOKUP($A$1,'Gift Funds'!$A$5:$AC$51,12,FALSE))/1000)*-1</f>
        <v>40.689129999999999</v>
      </c>
      <c r="H92" s="395" t="str">
        <f>IF(ISNA(VLOOKUP($A$1,'Certification Responses'!$A$5:$BB$51,40,FALSE))=TRUE,"DEPT not Found",VLOOKUP($A$1,'Certification Responses'!$A$5:$BB$51,40,FALSE))</f>
        <v>N/A</v>
      </c>
      <c r="I92" s="396">
        <f>(IF(ISNA(VLOOKUP($A$1,'Gift Funds'!$A$5:$AC$51,12,FALSE))=TRUE,"DEPT not Found",VLOOKUP($A$1,'Gift Funds'!$A$5:$AC$51,12,FALSE))/1000)*-1</f>
        <v>40.689129999999999</v>
      </c>
      <c r="J92" s="395" t="str">
        <f>IF(ISNA(VLOOKUP($A$1,'Certification Responses'!$A$5:$BB$51,41,FALSE))=TRUE,"DEPT not Found",VLOOKUP($A$1,'Certification Responses'!$A$5:$BB$51,41,FALSE))</f>
        <v>*</v>
      </c>
      <c r="K92" s="396">
        <f>(IF(ISNA(VLOOKUP($A$1,'Gift Funds'!$A$5:$AC$51,12,FALSE))=TRUE,"DEPT not Found",VLOOKUP($A$1,'Gift Funds'!$A$5:$AC$51,12,FALSE))/1000)*-1</f>
        <v>40.689129999999999</v>
      </c>
      <c r="L92" s="395" t="str">
        <f>IF(ISNA(VLOOKUP($A$1,'Certification Responses'!$A$5:$BB$51,42,FALSE))=TRUE,"DEPT not Found",VLOOKUP($A$1,'Certification Responses'!$A$5:$BB$51,42,FALSE))</f>
        <v xml:space="preserve"> </v>
      </c>
      <c r="M92" s="397">
        <f>(IF(ISNA(VLOOKUP($A$1,'Gift Funds'!$A$5:$AC$51,12,FALSE))=TRUE,"DEPT not Found",VLOOKUP($A$1,'Gift Funds'!$A$5:$AC$51,12,FALSE))/1000)*-1</f>
        <v>40.689129999999999</v>
      </c>
    </row>
    <row r="93" spans="1:13" s="140" customFormat="1" ht="15.75" x14ac:dyDescent="0.25">
      <c r="A93" s="218" t="s">
        <v>234</v>
      </c>
      <c r="B93" s="146"/>
      <c r="C93" s="215"/>
      <c r="D93" s="395" t="str">
        <f>IF(ISNA(VLOOKUP($A$1,'Certification Responses'!$A$5:$BB$51,44,FALSE))=TRUE,"DEPT not Found",VLOOKUP($A$1,'Certification Responses'!$A$5:$BB$51,44,FALSE))</f>
        <v>Y</v>
      </c>
      <c r="E93" s="396">
        <f>(IF(ISNA(VLOOKUP($A$1,'Gift Funds'!$A$5:$AC$51,12,FALSE))=TRUE,"DEPT not Found",VLOOKUP($A$1,'Gift Funds'!$A$5:$AC$51,12,FALSE))/1000)*-1</f>
        <v>40.689129999999999</v>
      </c>
      <c r="F93" s="395" t="str">
        <f>IF(ISNA(VLOOKUP($A$1,'Certification Responses'!$A$5:$BB$51,45,FALSE))=TRUE,"DEPT not Found",VLOOKUP($A$1,'Certification Responses'!$A$5:$BB$51,45,FALSE))</f>
        <v>Y</v>
      </c>
      <c r="G93" s="396">
        <f>(IF(ISNA(VLOOKUP($A$1,'Gift Funds'!$A$5:$AC$51,12,FALSE))=TRUE,"DEPT not Found",VLOOKUP($A$1,'Gift Funds'!$A$5:$AC$51,12,FALSE))/1000)*-1</f>
        <v>40.689129999999999</v>
      </c>
      <c r="H93" s="395" t="str">
        <f>IF(ISNA(VLOOKUP($A$1,'Certification Responses'!$A$5:$BB$51,46,FALSE))=TRUE,"DEPT not Found",VLOOKUP($A$1,'Certification Responses'!$A$5:$BB$51,46,FALSE))</f>
        <v>*</v>
      </c>
      <c r="I93" s="396">
        <f>(IF(ISNA(VLOOKUP($A$1,'Gift Funds'!$A$5:$AC$51,12,FALSE))=TRUE,"DEPT not Found",VLOOKUP($A$1,'Gift Funds'!$A$5:$AC$51,12,FALSE))/1000)*-1</f>
        <v>40.689129999999999</v>
      </c>
      <c r="J93" s="395" t="str">
        <f>IF(ISNA(VLOOKUP($A$1,'Certification Responses'!$A$5:$BB$51,47,FALSE))=TRUE,"DEPT not Found",VLOOKUP($A$1,'Certification Responses'!$A$5:$BB$51,47,FALSE))</f>
        <v>Y</v>
      </c>
      <c r="K93" s="396">
        <f>(IF(ISNA(VLOOKUP($A$1,'Gift Funds'!$A$5:$AC$51,12,FALSE))=TRUE,"DEPT not Found",VLOOKUP($A$1,'Gift Funds'!$A$5:$AC$51,12,FALSE))/1000)*-1</f>
        <v>40.689129999999999</v>
      </c>
      <c r="L93" s="395" t="str">
        <f>IF(ISNA(VLOOKUP($A$1,'Certification Responses'!$A$5:$BB$51,48,FALSE))=TRUE,"DEPT not Found",VLOOKUP($A$1,'Certification Responses'!$A$5:$BB$51,48,FALSE))</f>
        <v>*</v>
      </c>
      <c r="M93" s="397">
        <f>(IF(ISNA(VLOOKUP($A$1,'Gift Funds'!$A$5:$AC$51,12,FALSE))=TRUE,"DEPT not Found",VLOOKUP($A$1,'Gift Funds'!$A$5:$AC$51,12,FALSE))/1000)*-1</f>
        <v>40.689129999999999</v>
      </c>
    </row>
    <row r="94" spans="1:13" s="140" customFormat="1" ht="15.75" x14ac:dyDescent="0.25">
      <c r="A94" s="218" t="s">
        <v>230</v>
      </c>
      <c r="B94" s="155"/>
      <c r="C94" s="198"/>
      <c r="D94" s="395" t="str">
        <f>IF(ISNA(VLOOKUP($A$1,'Certification Responses'!$A$5:$BB$51,50,FALSE))=TRUE,"DEPT not Found",VLOOKUP($A$1,'Certification Responses'!$A$5:$BB$51,50,FALSE))</f>
        <v>Y</v>
      </c>
      <c r="E94" s="396">
        <f>(IF(ISNA(VLOOKUP($A$1,'Gift Funds'!$A$5:$AC$51,12,FALSE))=TRUE,"DEPT not Found",VLOOKUP($A$1,'Gift Funds'!$A$5:$AC$51,12,FALSE))/1000)*-1</f>
        <v>40.689129999999999</v>
      </c>
      <c r="F94" s="395" t="str">
        <f>IF(ISNA(VLOOKUP($A$1,'Certification Responses'!$A$5:$BB$51,51,FALSE))=TRUE,"DEPT not Found",VLOOKUP($A$1,'Certification Responses'!$A$5:$BB$51,51,FALSE))</f>
        <v>Y</v>
      </c>
      <c r="G94" s="396">
        <f>(IF(ISNA(VLOOKUP($A$1,'Gift Funds'!$A$5:$AC$51,12,FALSE))=TRUE,"DEPT not Found",VLOOKUP($A$1,'Gift Funds'!$A$5:$AC$51,12,FALSE))/1000)*-1</f>
        <v>40.689129999999999</v>
      </c>
      <c r="H94" s="395" t="str">
        <f>IF(ISNA(VLOOKUP($A$1,'Certification Responses'!$A$5:$BB$51,52,FALSE))=TRUE,"DEPT not Found",VLOOKUP($A$1,'Certification Responses'!$A$5:$BB$51,52,FALSE))</f>
        <v>Y</v>
      </c>
      <c r="I94" s="396">
        <f>(IF(ISNA(VLOOKUP($A$1,'Gift Funds'!$A$5:$AC$51,12,FALSE))=TRUE,"DEPT not Found",VLOOKUP($A$1,'Gift Funds'!$A$5:$AC$51,12,FALSE))/1000)*-1</f>
        <v>40.689129999999999</v>
      </c>
      <c r="J94" s="395" t="str">
        <f>IF(ISNA(VLOOKUP($A$1,'Certification Responses'!$A$5:$BB$51,53,FALSE))=TRUE,"DEPT not Found",VLOOKUP($A$1,'Certification Responses'!$A$5:$BB$51,53,FALSE))</f>
        <v>*</v>
      </c>
      <c r="K94" s="396">
        <f>(IF(ISNA(VLOOKUP($A$1,'Gift Funds'!$A$5:$AC$51,12,FALSE))=TRUE,"DEPT not Found",VLOOKUP($A$1,'Gift Funds'!$A$5:$AC$51,12,FALSE))/1000)*-1</f>
        <v>40.689129999999999</v>
      </c>
      <c r="L94" s="395" t="str">
        <f>IF(ISNA(VLOOKUP($A$1,'Certification Responses'!$A$5:$BB$51,54,FALSE))=TRUE,"DEPT not Found",VLOOKUP($A$1,'Certification Responses'!$A$5:$BB$51,54,FALSE))</f>
        <v xml:space="preserve"> </v>
      </c>
      <c r="M94" s="397">
        <f>(IF(ISNA(VLOOKUP($A$1,'Gift Funds'!$A$5:$AC$51,12,FALSE))=TRUE,"DEPT not Found",VLOOKUP($A$1,'Gift Funds'!$A$5:$AC$51,12,FALSE))/1000)*-1</f>
        <v>40.689129999999999</v>
      </c>
    </row>
    <row r="95" spans="1:13" s="140" customFormat="1" ht="15.75" x14ac:dyDescent="0.25">
      <c r="A95" s="218" t="s">
        <v>236</v>
      </c>
      <c r="B95" s="155"/>
      <c r="C95" s="286"/>
      <c r="D95" s="395"/>
      <c r="E95" s="396"/>
      <c r="F95" s="395"/>
      <c r="G95" s="396"/>
      <c r="H95" s="395"/>
      <c r="I95" s="396"/>
      <c r="J95" s="395"/>
      <c r="K95" s="396"/>
      <c r="L95" s="395" t="str">
        <f>IF(ISNA(VLOOKUP($A$1,'Certification Responses'!$A$5:$BD$51,56,FALSE))=TRUE,"DEPT not Found",VLOOKUP($A$1,'Certification Responses'!$A$5:$BD$51,56,FALSE))</f>
        <v xml:space="preserve"> </v>
      </c>
      <c r="M95" s="397">
        <f>(IF(ISNA(VLOOKUP($A$1,'Gift Funds'!$A$5:$AC$51,12,FALSE))=TRUE,"DEPT not Found",VLOOKUP($A$1,'Gift Funds'!$A$5:$AC$51,12,FALSE))/1000)*-1</f>
        <v>40.689129999999999</v>
      </c>
    </row>
    <row r="96" spans="1:13" s="140" customFormat="1" ht="7.15" customHeight="1" thickBot="1" x14ac:dyDescent="0.3">
      <c r="A96" s="164"/>
      <c r="B96" s="165"/>
      <c r="C96" s="165"/>
      <c r="D96" s="165"/>
      <c r="E96" s="165"/>
      <c r="F96" s="165"/>
      <c r="G96" s="165"/>
      <c r="H96" s="165"/>
      <c r="I96" s="165"/>
      <c r="J96" s="165"/>
      <c r="K96" s="165"/>
      <c r="L96" s="165"/>
      <c r="M96" s="166"/>
    </row>
    <row r="97" spans="1:12" s="140" customFormat="1" ht="15.75" x14ac:dyDescent="0.25">
      <c r="A97" s="140" t="s">
        <v>331</v>
      </c>
    </row>
    <row r="98" spans="1:12" s="140" customFormat="1" ht="5.25" customHeight="1" x14ac:dyDescent="0.25"/>
    <row r="99" spans="1:12" s="238" customFormat="1" ht="15" customHeight="1" x14ac:dyDescent="0.25">
      <c r="A99" s="341" t="s">
        <v>370</v>
      </c>
      <c r="B99" s="312"/>
      <c r="C99" s="312"/>
      <c r="D99" s="312"/>
      <c r="E99" s="312"/>
      <c r="F99" s="312"/>
      <c r="G99" s="312"/>
      <c r="I99" s="312"/>
      <c r="J99" s="312"/>
      <c r="K99" s="312"/>
      <c r="L99" s="312"/>
    </row>
    <row r="100" spans="1:12" s="238" customFormat="1" ht="15" hidden="1" customHeight="1" x14ac:dyDescent="0.25">
      <c r="A100" s="342" t="s">
        <v>373</v>
      </c>
      <c r="B100" s="312"/>
      <c r="C100" s="312"/>
      <c r="D100" s="312"/>
      <c r="E100" s="312"/>
      <c r="F100" s="312"/>
      <c r="G100" s="312"/>
      <c r="I100" s="312"/>
      <c r="J100" s="312"/>
      <c r="K100" s="312"/>
      <c r="L100" s="312"/>
    </row>
    <row r="101" spans="1:12" s="238" customFormat="1" ht="15" hidden="1" customHeight="1" x14ac:dyDescent="0.25">
      <c r="A101" s="342" t="s">
        <v>371</v>
      </c>
      <c r="B101" s="312"/>
      <c r="C101" s="312"/>
      <c r="D101" s="312"/>
      <c r="E101" s="312"/>
      <c r="F101" s="312"/>
      <c r="G101" s="312"/>
      <c r="I101" s="312"/>
      <c r="J101" s="312"/>
      <c r="K101" s="312"/>
      <c r="L101" s="312"/>
    </row>
    <row r="102" spans="1:12" s="238" customFormat="1" ht="15" customHeight="1" x14ac:dyDescent="0.25">
      <c r="A102" s="342" t="s">
        <v>374</v>
      </c>
      <c r="B102" s="312"/>
      <c r="C102" s="312"/>
      <c r="D102" s="312"/>
      <c r="E102" s="312"/>
      <c r="F102" s="312"/>
      <c r="G102" s="312"/>
      <c r="I102" s="312"/>
      <c r="J102" s="312"/>
      <c r="K102" s="312"/>
      <c r="L102" s="312"/>
    </row>
    <row r="103" spans="1:12" s="238" customFormat="1" ht="15" customHeight="1" x14ac:dyDescent="0.25">
      <c r="A103" s="342" t="s">
        <v>414</v>
      </c>
      <c r="B103" s="312"/>
      <c r="C103" s="312"/>
      <c r="D103" s="312"/>
      <c r="E103" s="312"/>
      <c r="F103" s="312"/>
      <c r="G103" s="312"/>
      <c r="I103" s="312"/>
      <c r="J103" s="312"/>
      <c r="K103" s="312"/>
      <c r="L103" s="312"/>
    </row>
    <row r="104" spans="1:12" s="238" customFormat="1" ht="15" customHeight="1" x14ac:dyDescent="0.25">
      <c r="A104" s="342" t="s">
        <v>415</v>
      </c>
      <c r="B104" s="312"/>
      <c r="C104" s="312"/>
      <c r="D104" s="312"/>
      <c r="E104" s="312"/>
      <c r="F104" s="312"/>
      <c r="G104" s="312"/>
      <c r="I104" s="312"/>
      <c r="J104" s="312"/>
      <c r="K104" s="312"/>
      <c r="L104" s="312"/>
    </row>
    <row r="105" spans="1:12" s="238" customFormat="1" ht="15" customHeight="1" x14ac:dyDescent="0.25">
      <c r="A105" s="342" t="s">
        <v>372</v>
      </c>
      <c r="B105" s="312"/>
      <c r="C105" s="312"/>
      <c r="D105" s="312"/>
      <c r="E105" s="312"/>
      <c r="F105" s="312"/>
      <c r="G105" s="312"/>
      <c r="I105" s="312"/>
      <c r="J105" s="312"/>
      <c r="K105" s="312"/>
      <c r="L105" s="312"/>
    </row>
  </sheetData>
  <mergeCells count="133">
    <mergeCell ref="B72:C72"/>
    <mergeCell ref="D72:E72"/>
    <mergeCell ref="F72:G72"/>
    <mergeCell ref="H72:I72"/>
    <mergeCell ref="J72:K72"/>
    <mergeCell ref="L72:M72"/>
    <mergeCell ref="D77:E77"/>
    <mergeCell ref="F77:G77"/>
    <mergeCell ref="J93:K93"/>
    <mergeCell ref="L88:M88"/>
    <mergeCell ref="L89:M89"/>
    <mergeCell ref="L90:M90"/>
    <mergeCell ref="L91:M91"/>
    <mergeCell ref="L92:M92"/>
    <mergeCell ref="L93:M93"/>
    <mergeCell ref="J88:K88"/>
    <mergeCell ref="J89:K89"/>
    <mergeCell ref="J90:K90"/>
    <mergeCell ref="J91:K91"/>
    <mergeCell ref="J92:K92"/>
    <mergeCell ref="F92:G92"/>
    <mergeCell ref="F93:G93"/>
    <mergeCell ref="H88:I88"/>
    <mergeCell ref="H89:I89"/>
    <mergeCell ref="H90:I90"/>
    <mergeCell ref="H91:I91"/>
    <mergeCell ref="H92:I92"/>
    <mergeCell ref="H93:I93"/>
    <mergeCell ref="F94:G94"/>
    <mergeCell ref="H94:I94"/>
    <mergeCell ref="J94:K94"/>
    <mergeCell ref="L94:M94"/>
    <mergeCell ref="D94:E94"/>
    <mergeCell ref="D88:E88"/>
    <mergeCell ref="D89:E89"/>
    <mergeCell ref="D90:E90"/>
    <mergeCell ref="D91:E91"/>
    <mergeCell ref="D92:E92"/>
    <mergeCell ref="D93:E93"/>
    <mergeCell ref="F88:G88"/>
    <mergeCell ref="F89:G89"/>
    <mergeCell ref="F90:G90"/>
    <mergeCell ref="F91:G91"/>
    <mergeCell ref="L86:M86"/>
    <mergeCell ref="F87:G87"/>
    <mergeCell ref="H87:I87"/>
    <mergeCell ref="J87:K87"/>
    <mergeCell ref="L87:M87"/>
    <mergeCell ref="B86:C86"/>
    <mergeCell ref="D86:E86"/>
    <mergeCell ref="F86:G86"/>
    <mergeCell ref="H86:I86"/>
    <mergeCell ref="J86:K86"/>
    <mergeCell ref="D87:E87"/>
    <mergeCell ref="L63:M63"/>
    <mergeCell ref="H62:I62"/>
    <mergeCell ref="H63:I63"/>
    <mergeCell ref="J62:K62"/>
    <mergeCell ref="J63:K63"/>
    <mergeCell ref="A69:M69"/>
    <mergeCell ref="B70:C70"/>
    <mergeCell ref="D70:E70"/>
    <mergeCell ref="F70:G70"/>
    <mergeCell ref="H70:I70"/>
    <mergeCell ref="J70:K70"/>
    <mergeCell ref="L70:M70"/>
    <mergeCell ref="A2:M2"/>
    <mergeCell ref="A39:M39"/>
    <mergeCell ref="H40:I40"/>
    <mergeCell ref="J40:K40"/>
    <mergeCell ref="B5:C5"/>
    <mergeCell ref="D5:E5"/>
    <mergeCell ref="F5:G5"/>
    <mergeCell ref="L5:M5"/>
    <mergeCell ref="A4:M4"/>
    <mergeCell ref="H5:I5"/>
    <mergeCell ref="J5:K5"/>
    <mergeCell ref="H23:I23"/>
    <mergeCell ref="H12:I12"/>
    <mergeCell ref="A22:M22"/>
    <mergeCell ref="D12:E12"/>
    <mergeCell ref="F12:G12"/>
    <mergeCell ref="L12:M12"/>
    <mergeCell ref="J12:K12"/>
    <mergeCell ref="J23:K23"/>
    <mergeCell ref="D7:E7"/>
    <mergeCell ref="F7:G7"/>
    <mergeCell ref="L7:M7"/>
    <mergeCell ref="J7:K7"/>
    <mergeCell ref="H7:I7"/>
    <mergeCell ref="B7:C7"/>
    <mergeCell ref="A61:M61"/>
    <mergeCell ref="D55:E55"/>
    <mergeCell ref="F55:G55"/>
    <mergeCell ref="L55:M55"/>
    <mergeCell ref="B56:C56"/>
    <mergeCell ref="D56:E56"/>
    <mergeCell ref="F56:G56"/>
    <mergeCell ref="B23:C23"/>
    <mergeCell ref="D23:E23"/>
    <mergeCell ref="F23:G23"/>
    <mergeCell ref="L23:M23"/>
    <mergeCell ref="B55:C55"/>
    <mergeCell ref="A54:M54"/>
    <mergeCell ref="L56:M56"/>
    <mergeCell ref="J55:K55"/>
    <mergeCell ref="J56:K56"/>
    <mergeCell ref="H55:I55"/>
    <mergeCell ref="H56:I56"/>
    <mergeCell ref="D95:E95"/>
    <mergeCell ref="F95:G95"/>
    <mergeCell ref="H95:I95"/>
    <mergeCell ref="J95:K95"/>
    <mergeCell ref="L95:M95"/>
    <mergeCell ref="J79:K79"/>
    <mergeCell ref="L79:M79"/>
    <mergeCell ref="B40:C40"/>
    <mergeCell ref="D40:E40"/>
    <mergeCell ref="F40:G40"/>
    <mergeCell ref="L40:M40"/>
    <mergeCell ref="A84:M84"/>
    <mergeCell ref="B85:C85"/>
    <mergeCell ref="D85:E85"/>
    <mergeCell ref="F85:G85"/>
    <mergeCell ref="H85:I85"/>
    <mergeCell ref="J85:K85"/>
    <mergeCell ref="L85:M85"/>
    <mergeCell ref="B62:C62"/>
    <mergeCell ref="D62:E62"/>
    <mergeCell ref="F62:G62"/>
    <mergeCell ref="L62:M62"/>
    <mergeCell ref="D63:E63"/>
    <mergeCell ref="F63:G63"/>
  </mergeCells>
  <conditionalFormatting sqref="M44">
    <cfRule type="cellIs" dxfId="180" priority="121" operator="lessThan">
      <formula>4.3%</formula>
    </cfRule>
    <cfRule type="cellIs" dxfId="179" priority="122" operator="greaterThan">
      <formula>7.3%</formula>
    </cfRule>
    <cfRule type="cellIs" dxfId="178" priority="123" operator="between">
      <formula>0.043</formula>
      <formula>0.073</formula>
    </cfRule>
  </conditionalFormatting>
  <conditionalFormatting sqref="M45">
    <cfRule type="cellIs" dxfId="177" priority="118" operator="between">
      <formula>0.019</formula>
      <formula>0.029</formula>
    </cfRule>
    <cfRule type="cellIs" dxfId="176" priority="119" operator="lessThan">
      <formula>0.019</formula>
    </cfRule>
    <cfRule type="cellIs" dxfId="175" priority="120" operator="greaterThan">
      <formula>0.029</formula>
    </cfRule>
  </conditionalFormatting>
  <conditionalFormatting sqref="G44">
    <cfRule type="cellIs" dxfId="174" priority="112" operator="lessThan">
      <formula>0.056</formula>
    </cfRule>
    <cfRule type="cellIs" dxfId="173" priority="113" operator="between">
      <formula>0.056</formula>
      <formula>0.116</formula>
    </cfRule>
    <cfRule type="cellIs" dxfId="172" priority="114" operator="greaterThan">
      <formula>0.116</formula>
    </cfRule>
  </conditionalFormatting>
  <conditionalFormatting sqref="G45">
    <cfRule type="cellIs" dxfId="171" priority="109" operator="between">
      <formula>0.024</formula>
      <formula>0.034</formula>
    </cfRule>
    <cfRule type="cellIs" dxfId="170" priority="110" operator="lessThan">
      <formula>0.024</formula>
    </cfRule>
    <cfRule type="cellIs" dxfId="169" priority="111" operator="greaterThan">
      <formula>0.034</formula>
    </cfRule>
  </conditionalFormatting>
  <conditionalFormatting sqref="E44">
    <cfRule type="cellIs" dxfId="168" priority="103" operator="between">
      <formula>0.072</formula>
      <formula>0.132</formula>
    </cfRule>
    <cfRule type="cellIs" dxfId="167" priority="104" operator="lessThan">
      <formula>0.072</formula>
    </cfRule>
    <cfRule type="cellIs" dxfId="166" priority="105" operator="greaterThan">
      <formula>0.132</formula>
    </cfRule>
  </conditionalFormatting>
  <conditionalFormatting sqref="E45">
    <cfRule type="cellIs" dxfId="165" priority="97" operator="between">
      <formula>0.02</formula>
      <formula>0.03</formula>
    </cfRule>
    <cfRule type="cellIs" dxfId="164" priority="98" operator="lessThan">
      <formula>0.02</formula>
    </cfRule>
    <cfRule type="cellIs" dxfId="163" priority="99" operator="greaterThan">
      <formula>0.03</formula>
    </cfRule>
  </conditionalFormatting>
  <conditionalFormatting sqref="C44">
    <cfRule type="cellIs" dxfId="162" priority="91" operator="between">
      <formula>0.078</formula>
      <formula>0.138</formula>
    </cfRule>
    <cfRule type="cellIs" dxfId="161" priority="92" operator="lessThan">
      <formula>0.078</formula>
    </cfRule>
    <cfRule type="cellIs" dxfId="160" priority="93" operator="greaterThan">
      <formula>0.138</formula>
    </cfRule>
  </conditionalFormatting>
  <conditionalFormatting sqref="C45">
    <cfRule type="cellIs" dxfId="159" priority="88" operator="between">
      <formula>0.024</formula>
      <formula>0.034</formula>
    </cfRule>
    <cfRule type="cellIs" dxfId="158" priority="89" operator="lessThan">
      <formula>0.024</formula>
    </cfRule>
    <cfRule type="cellIs" dxfId="157" priority="90" operator="greaterThan">
      <formula>0.034</formula>
    </cfRule>
  </conditionalFormatting>
  <conditionalFormatting sqref="C9">
    <cfRule type="cellIs" dxfId="156" priority="85" operator="between">
      <formula>0.011</formula>
      <formula>0.017</formula>
    </cfRule>
    <cfRule type="cellIs" dxfId="155" priority="86" operator="lessThan">
      <formula>0.011</formula>
    </cfRule>
    <cfRule type="cellIs" dxfId="154" priority="87" operator="greaterThan">
      <formula>0.017</formula>
    </cfRule>
  </conditionalFormatting>
  <conditionalFormatting sqref="I44">
    <cfRule type="cellIs" dxfId="153" priority="73" operator="lessThan">
      <formula>0.062</formula>
    </cfRule>
    <cfRule type="cellIs" dxfId="152" priority="74" operator="between">
      <formula>0.062</formula>
      <formula>0.102</formula>
    </cfRule>
    <cfRule type="cellIs" dxfId="151" priority="75" operator="greaterThan">
      <formula>0.102</formula>
    </cfRule>
  </conditionalFormatting>
  <conditionalFormatting sqref="I45">
    <cfRule type="cellIs" dxfId="150" priority="70" operator="between">
      <formula>0.016</formula>
      <formula>0.026</formula>
    </cfRule>
    <cfRule type="cellIs" dxfId="149" priority="71" operator="lessThan">
      <formula>0.016</formula>
    </cfRule>
    <cfRule type="cellIs" dxfId="148" priority="72" operator="greaterThan">
      <formula>0.026</formula>
    </cfRule>
  </conditionalFormatting>
  <conditionalFormatting sqref="K44">
    <cfRule type="cellIs" dxfId="147" priority="64" operator="lessThan">
      <formula>0.055</formula>
    </cfRule>
    <cfRule type="cellIs" dxfId="146" priority="65" operator="between">
      <formula>0.055</formula>
      <formula>0.085</formula>
    </cfRule>
    <cfRule type="cellIs" dxfId="145" priority="66" operator="greaterThan">
      <formula>0.085</formula>
    </cfRule>
  </conditionalFormatting>
  <conditionalFormatting sqref="K45">
    <cfRule type="cellIs" dxfId="144" priority="61" operator="between">
      <formula>0.012</formula>
      <formula>0.022</formula>
    </cfRule>
    <cfRule type="cellIs" dxfId="143" priority="62" operator="lessThan">
      <formula>0.012</formula>
    </cfRule>
    <cfRule type="cellIs" dxfId="142" priority="63" operator="greaterThan">
      <formula>0.022</formula>
    </cfRule>
  </conditionalFormatting>
  <conditionalFormatting sqref="M9">
    <cfRule type="cellIs" dxfId="141" priority="46" operator="between">
      <formula>0.009</formula>
      <formula>0.015</formula>
    </cfRule>
    <cfRule type="cellIs" dxfId="140" priority="47" operator="lessThan">
      <formula>0.009</formula>
    </cfRule>
    <cfRule type="cellIs" dxfId="139" priority="48" operator="greaterThan">
      <formula>0.015</formula>
    </cfRule>
  </conditionalFormatting>
  <conditionalFormatting sqref="E49 G49 I49 K49 M49 E28 G28 I28 K28 M28 E36 G36 I36 K36 M36">
    <cfRule type="cellIs" dxfId="138" priority="31" operator="between">
      <formula>0.5</formula>
      <formula>0.75</formula>
    </cfRule>
    <cfRule type="cellIs" dxfId="137" priority="32" operator="lessThan">
      <formula>0.5</formula>
    </cfRule>
    <cfRule type="cellIs" dxfId="136" priority="33" operator="greaterThan">
      <formula>0.75</formula>
    </cfRule>
  </conditionalFormatting>
  <conditionalFormatting sqref="E9">
    <cfRule type="cellIs" dxfId="135" priority="49" operator="between">
      <formula>0.012</formula>
      <formula>0.018</formula>
    </cfRule>
    <cfRule type="cellIs" dxfId="134" priority="50" operator="lessThan">
      <formula>0.012</formula>
    </cfRule>
    <cfRule type="cellIs" dxfId="133" priority="51" operator="greaterThan">
      <formula>0.018</formula>
    </cfRule>
  </conditionalFormatting>
  <conditionalFormatting sqref="G9">
    <cfRule type="cellIs" dxfId="132" priority="28" operator="lessThan">
      <formula>0.009</formula>
    </cfRule>
    <cfRule type="cellIs" dxfId="131" priority="29" operator="greaterThan">
      <formula>0.013</formula>
    </cfRule>
    <cfRule type="cellIs" dxfId="130" priority="30" operator="between">
      <formula>0.009</formula>
      <formula>0.013</formula>
    </cfRule>
  </conditionalFormatting>
  <conditionalFormatting sqref="I9">
    <cfRule type="cellIs" dxfId="129" priority="25" operator="lessThan">
      <formula>0.009</formula>
    </cfRule>
    <cfRule type="cellIs" dxfId="128" priority="26" operator="greaterThan">
      <formula>0.015</formula>
    </cfRule>
    <cfRule type="cellIs" dxfId="127" priority="27" operator="between">
      <formula>0.009</formula>
      <formula>0.015</formula>
    </cfRule>
  </conditionalFormatting>
  <conditionalFormatting sqref="K9">
    <cfRule type="cellIs" dxfId="126" priority="22" operator="lessThan">
      <formula>0.007</formula>
    </cfRule>
    <cfRule type="cellIs" dxfId="125" priority="23" operator="greaterThan">
      <formula>0.013</formula>
    </cfRule>
    <cfRule type="cellIs" dxfId="124" priority="24" operator="between">
      <formula>0.007</formula>
      <formula>0.013</formula>
    </cfRule>
  </conditionalFormatting>
  <conditionalFormatting sqref="E18 G18 I18 K18 M18">
    <cfRule type="cellIs" dxfId="123" priority="1" operator="between">
      <formula>0.8</formula>
      <formula>0.899</formula>
    </cfRule>
    <cfRule type="cellIs" dxfId="122" priority="2" operator="greaterThan">
      <formula>0.899</formula>
    </cfRule>
    <cfRule type="cellIs" dxfId="121" priority="3" operator="lessThan">
      <formula>0.8</formula>
    </cfRule>
  </conditionalFormatting>
  <printOptions horizontalCentered="1"/>
  <pageMargins left="0" right="0" top="0.25" bottom="0" header="0.3" footer="0.3"/>
  <pageSetup scale="8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91"/>
  <sheetViews>
    <sheetView zoomScaleNormal="100" workbookViewId="0">
      <selection sqref="A1:F1"/>
    </sheetView>
  </sheetViews>
  <sheetFormatPr defaultRowHeight="15" x14ac:dyDescent="0.25"/>
  <cols>
    <col min="1" max="1" width="2.85546875" style="8" customWidth="1"/>
    <col min="2" max="2" width="102.140625" style="70" customWidth="1"/>
    <col min="3" max="4" width="7.7109375" hidden="1" customWidth="1"/>
    <col min="5" max="6" width="7.7109375" style="6" hidden="1" customWidth="1"/>
    <col min="7" max="29" width="9.140625" style="5"/>
  </cols>
  <sheetData>
    <row r="1" spans="1:29" ht="21" x14ac:dyDescent="0.35">
      <c r="A1" s="418" t="s">
        <v>215</v>
      </c>
      <c r="B1" s="418"/>
      <c r="C1" s="418"/>
      <c r="D1" s="418"/>
      <c r="E1" s="418"/>
      <c r="F1" s="418"/>
    </row>
    <row r="2" spans="1:29" x14ac:dyDescent="0.25">
      <c r="A2" s="59"/>
      <c r="B2" s="23"/>
      <c r="C2" s="22"/>
      <c r="D2" s="22"/>
      <c r="E2" s="7"/>
      <c r="F2" s="7"/>
      <c r="G2"/>
      <c r="H2"/>
      <c r="I2"/>
      <c r="J2"/>
      <c r="K2"/>
      <c r="L2"/>
      <c r="M2"/>
      <c r="N2"/>
      <c r="O2"/>
      <c r="P2"/>
      <c r="Q2"/>
      <c r="R2"/>
      <c r="S2"/>
      <c r="T2"/>
      <c r="U2"/>
      <c r="V2"/>
      <c r="W2"/>
      <c r="X2"/>
      <c r="Y2"/>
      <c r="Z2"/>
      <c r="AA2"/>
      <c r="AB2"/>
      <c r="AC2"/>
    </row>
    <row r="3" spans="1:29" x14ac:dyDescent="0.25">
      <c r="A3" s="59" t="s">
        <v>171</v>
      </c>
      <c r="B3" s="66"/>
      <c r="C3" s="22"/>
      <c r="D3" s="22"/>
      <c r="E3" s="7"/>
      <c r="F3" s="7"/>
      <c r="G3"/>
      <c r="H3"/>
      <c r="I3"/>
      <c r="J3"/>
      <c r="K3"/>
      <c r="L3"/>
      <c r="M3"/>
      <c r="N3"/>
      <c r="O3"/>
      <c r="P3"/>
      <c r="Q3"/>
      <c r="R3"/>
      <c r="S3"/>
      <c r="T3"/>
      <c r="U3"/>
      <c r="V3"/>
      <c r="W3"/>
      <c r="X3"/>
      <c r="Y3"/>
      <c r="Z3"/>
      <c r="AA3"/>
      <c r="AB3"/>
      <c r="AC3"/>
    </row>
    <row r="4" spans="1:29" x14ac:dyDescent="0.25">
      <c r="A4" s="22"/>
      <c r="B4" s="66" t="s">
        <v>83</v>
      </c>
      <c r="C4" s="22"/>
      <c r="D4" s="22"/>
      <c r="E4" s="7"/>
      <c r="F4" s="7"/>
      <c r="G4"/>
      <c r="H4"/>
      <c r="I4"/>
      <c r="J4"/>
      <c r="K4"/>
      <c r="L4"/>
      <c r="M4"/>
      <c r="N4"/>
      <c r="O4"/>
      <c r="P4"/>
      <c r="Q4"/>
      <c r="R4"/>
      <c r="S4"/>
      <c r="T4"/>
      <c r="U4"/>
      <c r="V4"/>
      <c r="W4"/>
      <c r="X4"/>
      <c r="Y4"/>
      <c r="Z4"/>
      <c r="AA4"/>
      <c r="AB4"/>
      <c r="AC4"/>
    </row>
    <row r="5" spans="1:29" x14ac:dyDescent="0.25">
      <c r="A5" s="73"/>
      <c r="B5" s="23" t="s">
        <v>416</v>
      </c>
      <c r="C5" s="20"/>
      <c r="D5" s="3"/>
      <c r="E5" s="9" t="s">
        <v>64</v>
      </c>
      <c r="F5" s="25" t="s">
        <v>84</v>
      </c>
      <c r="G5"/>
      <c r="H5"/>
      <c r="I5"/>
      <c r="J5"/>
      <c r="K5"/>
      <c r="L5"/>
      <c r="M5"/>
      <c r="N5"/>
      <c r="O5"/>
      <c r="P5"/>
      <c r="Q5"/>
      <c r="R5"/>
      <c r="S5"/>
      <c r="T5"/>
      <c r="U5"/>
      <c r="V5"/>
      <c r="W5"/>
      <c r="X5"/>
      <c r="Y5"/>
      <c r="Z5"/>
      <c r="AA5"/>
      <c r="AB5"/>
      <c r="AC5"/>
    </row>
    <row r="6" spans="1:29" ht="15" customHeight="1" x14ac:dyDescent="0.25">
      <c r="A6" s="73"/>
      <c r="B6" s="67" t="s">
        <v>196</v>
      </c>
      <c r="C6" s="24"/>
      <c r="D6" s="3" t="s">
        <v>85</v>
      </c>
      <c r="E6" s="10" t="s">
        <v>67</v>
      </c>
      <c r="F6" s="24" t="s">
        <v>68</v>
      </c>
      <c r="G6"/>
      <c r="H6"/>
      <c r="I6"/>
      <c r="J6"/>
      <c r="K6"/>
      <c r="L6"/>
      <c r="M6"/>
      <c r="N6"/>
      <c r="O6"/>
      <c r="P6"/>
      <c r="Q6"/>
      <c r="R6"/>
      <c r="S6"/>
      <c r="T6"/>
      <c r="U6"/>
      <c r="V6"/>
      <c r="W6"/>
      <c r="X6"/>
      <c r="Y6"/>
      <c r="Z6"/>
      <c r="AA6"/>
      <c r="AB6"/>
      <c r="AC6"/>
    </row>
    <row r="7" spans="1:29" x14ac:dyDescent="0.25">
      <c r="A7" s="73"/>
      <c r="B7" s="23" t="s">
        <v>86</v>
      </c>
      <c r="C7" s="20"/>
      <c r="D7" s="2"/>
      <c r="E7" s="58"/>
      <c r="F7" s="58"/>
      <c r="G7"/>
      <c r="H7"/>
      <c r="I7"/>
      <c r="J7"/>
      <c r="K7"/>
      <c r="L7"/>
      <c r="M7"/>
      <c r="N7"/>
      <c r="O7"/>
      <c r="P7"/>
      <c r="Q7"/>
      <c r="R7"/>
      <c r="S7"/>
      <c r="T7"/>
      <c r="U7"/>
      <c r="V7"/>
      <c r="W7"/>
      <c r="X7"/>
      <c r="Y7"/>
      <c r="Z7"/>
      <c r="AA7"/>
      <c r="AB7"/>
      <c r="AC7"/>
    </row>
    <row r="8" spans="1:29" ht="7.5" customHeight="1" x14ac:dyDescent="0.25">
      <c r="A8" s="20"/>
      <c r="B8" s="60"/>
      <c r="C8" s="4"/>
      <c r="D8" s="4"/>
      <c r="E8" s="7"/>
      <c r="F8" s="7"/>
      <c r="G8"/>
      <c r="H8"/>
      <c r="I8"/>
      <c r="J8"/>
      <c r="K8"/>
      <c r="L8"/>
      <c r="M8"/>
      <c r="N8"/>
      <c r="O8"/>
      <c r="P8"/>
      <c r="Q8"/>
      <c r="R8"/>
      <c r="S8"/>
      <c r="T8"/>
      <c r="U8"/>
      <c r="V8"/>
      <c r="W8"/>
      <c r="X8"/>
      <c r="Y8"/>
      <c r="Z8"/>
      <c r="AA8"/>
      <c r="AB8"/>
      <c r="AC8"/>
    </row>
    <row r="9" spans="1:29" x14ac:dyDescent="0.25">
      <c r="A9" s="12"/>
      <c r="B9" s="68" t="s">
        <v>87</v>
      </c>
      <c r="C9" s="12"/>
      <c r="D9" s="22"/>
      <c r="E9" s="7"/>
      <c r="F9" s="7"/>
      <c r="G9"/>
      <c r="H9"/>
      <c r="I9"/>
      <c r="J9"/>
      <c r="K9"/>
      <c r="L9"/>
      <c r="M9"/>
      <c r="N9"/>
      <c r="O9"/>
      <c r="P9"/>
      <c r="Q9"/>
      <c r="R9"/>
      <c r="S9"/>
      <c r="T9"/>
      <c r="U9"/>
      <c r="V9"/>
      <c r="W9"/>
      <c r="X9"/>
      <c r="Y9"/>
      <c r="Z9"/>
      <c r="AA9"/>
      <c r="AB9"/>
      <c r="AC9"/>
    </row>
    <row r="10" spans="1:29" x14ac:dyDescent="0.25">
      <c r="A10" s="4"/>
      <c r="B10" s="23" t="s">
        <v>416</v>
      </c>
      <c r="C10" s="21"/>
      <c r="D10" s="3"/>
      <c r="E10" s="9" t="s">
        <v>64</v>
      </c>
      <c r="F10" s="25" t="s">
        <v>88</v>
      </c>
      <c r="G10"/>
      <c r="H10"/>
      <c r="I10"/>
      <c r="J10"/>
      <c r="K10"/>
      <c r="L10"/>
      <c r="M10"/>
      <c r="N10"/>
      <c r="O10"/>
      <c r="P10"/>
      <c r="Q10"/>
      <c r="R10"/>
      <c r="S10"/>
      <c r="T10"/>
      <c r="U10"/>
      <c r="V10"/>
      <c r="W10"/>
      <c r="X10"/>
      <c r="Y10"/>
      <c r="Z10"/>
      <c r="AA10"/>
      <c r="AB10"/>
      <c r="AC10"/>
    </row>
    <row r="11" spans="1:29" x14ac:dyDescent="0.25">
      <c r="A11" s="4"/>
      <c r="B11" s="23" t="s">
        <v>89</v>
      </c>
      <c r="C11" s="20"/>
      <c r="D11" s="3" t="s">
        <v>90</v>
      </c>
      <c r="E11" s="10" t="s">
        <v>67</v>
      </c>
      <c r="F11" s="24" t="s">
        <v>91</v>
      </c>
      <c r="G11"/>
      <c r="H11"/>
      <c r="I11"/>
      <c r="J11"/>
      <c r="K11"/>
      <c r="L11"/>
      <c r="M11"/>
      <c r="N11"/>
      <c r="O11"/>
      <c r="P11"/>
      <c r="Q11"/>
      <c r="R11"/>
      <c r="S11"/>
      <c r="T11"/>
      <c r="U11"/>
      <c r="V11"/>
      <c r="W11"/>
      <c r="X11"/>
      <c r="Y11"/>
      <c r="Z11"/>
      <c r="AA11"/>
      <c r="AB11"/>
      <c r="AC11"/>
    </row>
    <row r="12" spans="1:29" x14ac:dyDescent="0.25">
      <c r="A12" s="4"/>
      <c r="B12" s="23" t="s">
        <v>92</v>
      </c>
      <c r="C12" s="20"/>
      <c r="D12" s="4"/>
      <c r="E12" s="11" t="s">
        <v>69</v>
      </c>
      <c r="F12" s="24" t="s">
        <v>93</v>
      </c>
      <c r="G12"/>
      <c r="H12"/>
      <c r="I12"/>
      <c r="J12"/>
      <c r="K12"/>
      <c r="L12"/>
      <c r="M12"/>
      <c r="N12"/>
      <c r="O12"/>
      <c r="P12"/>
      <c r="Q12"/>
      <c r="R12"/>
      <c r="S12"/>
      <c r="T12"/>
      <c r="U12"/>
      <c r="V12"/>
      <c r="W12"/>
      <c r="X12"/>
      <c r="Y12"/>
      <c r="Z12"/>
      <c r="AA12"/>
      <c r="AB12"/>
      <c r="AC12"/>
    </row>
    <row r="13" spans="1:29" ht="7.5" customHeight="1" x14ac:dyDescent="0.25">
      <c r="A13" s="20"/>
      <c r="B13" s="60"/>
      <c r="C13" s="4"/>
      <c r="D13" s="4"/>
      <c r="E13" s="7"/>
      <c r="F13" s="7"/>
      <c r="G13"/>
      <c r="H13"/>
      <c r="I13"/>
      <c r="J13"/>
      <c r="K13"/>
      <c r="L13"/>
      <c r="M13"/>
      <c r="N13"/>
      <c r="O13"/>
      <c r="P13"/>
      <c r="Q13"/>
      <c r="R13"/>
      <c r="S13"/>
      <c r="T13"/>
      <c r="U13"/>
      <c r="V13"/>
      <c r="W13"/>
      <c r="X13"/>
      <c r="Y13"/>
      <c r="Z13"/>
      <c r="AA13"/>
      <c r="AB13"/>
      <c r="AC13"/>
    </row>
    <row r="14" spans="1:29" x14ac:dyDescent="0.25">
      <c r="A14" s="22"/>
      <c r="B14" s="66" t="s">
        <v>170</v>
      </c>
      <c r="C14" s="22"/>
      <c r="D14" s="22"/>
      <c r="E14" s="7"/>
      <c r="F14" s="7"/>
      <c r="G14"/>
      <c r="H14"/>
      <c r="I14"/>
      <c r="J14"/>
      <c r="K14"/>
      <c r="L14"/>
      <c r="M14"/>
      <c r="N14"/>
      <c r="O14"/>
      <c r="P14"/>
      <c r="Q14"/>
      <c r="R14"/>
      <c r="S14"/>
      <c r="T14"/>
      <c r="U14"/>
      <c r="V14"/>
      <c r="W14"/>
      <c r="X14"/>
      <c r="Y14"/>
      <c r="Z14"/>
      <c r="AA14"/>
      <c r="AB14"/>
      <c r="AC14"/>
    </row>
    <row r="15" spans="1:29" x14ac:dyDescent="0.25">
      <c r="A15" s="73"/>
      <c r="B15" s="23" t="s">
        <v>416</v>
      </c>
      <c r="C15" s="20"/>
      <c r="D15" s="3"/>
      <c r="E15" s="9" t="s">
        <v>64</v>
      </c>
      <c r="F15" s="25" t="s">
        <v>84</v>
      </c>
      <c r="G15"/>
      <c r="H15"/>
      <c r="I15"/>
      <c r="J15"/>
      <c r="K15"/>
      <c r="L15"/>
      <c r="M15"/>
      <c r="N15"/>
      <c r="O15"/>
      <c r="P15"/>
      <c r="Q15"/>
      <c r="R15"/>
      <c r="S15"/>
      <c r="T15"/>
      <c r="U15"/>
      <c r="V15"/>
      <c r="W15"/>
      <c r="X15"/>
      <c r="Y15"/>
      <c r="Z15"/>
      <c r="AA15"/>
      <c r="AB15"/>
      <c r="AC15"/>
    </row>
    <row r="16" spans="1:29" x14ac:dyDescent="0.25">
      <c r="A16" s="73"/>
      <c r="B16" s="23" t="s">
        <v>113</v>
      </c>
      <c r="C16" s="20"/>
      <c r="D16" s="3"/>
      <c r="E16" s="9"/>
      <c r="F16" s="25"/>
      <c r="G16"/>
      <c r="H16"/>
      <c r="I16"/>
      <c r="J16"/>
      <c r="K16"/>
      <c r="L16"/>
      <c r="M16"/>
      <c r="N16"/>
      <c r="O16"/>
      <c r="P16"/>
      <c r="Q16"/>
      <c r="R16"/>
      <c r="S16"/>
      <c r="T16"/>
      <c r="U16"/>
      <c r="V16"/>
      <c r="W16"/>
      <c r="X16"/>
      <c r="Y16"/>
      <c r="Z16"/>
      <c r="AA16"/>
      <c r="AB16"/>
      <c r="AC16"/>
    </row>
    <row r="17" spans="1:29" ht="30" x14ac:dyDescent="0.25">
      <c r="A17" s="4"/>
      <c r="B17" s="67" t="s">
        <v>417</v>
      </c>
      <c r="C17" s="20"/>
      <c r="D17" s="4"/>
      <c r="E17" s="11" t="s">
        <v>69</v>
      </c>
      <c r="F17" s="24" t="s">
        <v>93</v>
      </c>
      <c r="G17"/>
      <c r="H17"/>
      <c r="I17"/>
      <c r="J17"/>
      <c r="K17"/>
      <c r="L17"/>
      <c r="M17"/>
      <c r="N17"/>
      <c r="O17"/>
      <c r="P17"/>
      <c r="Q17"/>
      <c r="R17"/>
      <c r="S17"/>
      <c r="T17"/>
      <c r="U17"/>
      <c r="V17"/>
      <c r="W17"/>
      <c r="X17"/>
      <c r="Y17"/>
      <c r="Z17"/>
      <c r="AA17"/>
      <c r="AB17"/>
      <c r="AC17"/>
    </row>
    <row r="18" spans="1:29" x14ac:dyDescent="0.25">
      <c r="A18" s="59"/>
      <c r="B18" s="23"/>
      <c r="C18" s="22"/>
      <c r="D18" s="22"/>
      <c r="E18" s="7"/>
      <c r="F18" s="7"/>
      <c r="G18"/>
      <c r="H18"/>
      <c r="I18"/>
      <c r="J18"/>
      <c r="K18"/>
      <c r="L18"/>
      <c r="M18"/>
      <c r="N18"/>
      <c r="O18"/>
      <c r="P18"/>
      <c r="Q18"/>
      <c r="R18"/>
      <c r="S18"/>
      <c r="T18"/>
      <c r="U18"/>
      <c r="V18"/>
      <c r="W18"/>
      <c r="X18"/>
      <c r="Y18"/>
      <c r="Z18"/>
      <c r="AA18"/>
      <c r="AB18"/>
      <c r="AC18"/>
    </row>
    <row r="19" spans="1:29" x14ac:dyDescent="0.25">
      <c r="A19" s="59" t="s">
        <v>112</v>
      </c>
      <c r="B19" s="65"/>
      <c r="C19" s="12"/>
      <c r="D19" s="22"/>
      <c r="E19" s="7"/>
      <c r="F19" s="7"/>
      <c r="AA19"/>
      <c r="AB19"/>
      <c r="AC19"/>
    </row>
    <row r="20" spans="1:29" x14ac:dyDescent="0.25">
      <c r="A20" s="12"/>
      <c r="B20" s="66" t="s">
        <v>46</v>
      </c>
      <c r="C20" s="12"/>
      <c r="D20" s="22"/>
      <c r="E20" s="7"/>
      <c r="F20" s="7"/>
      <c r="AA20"/>
      <c r="AB20"/>
      <c r="AC20"/>
    </row>
    <row r="21" spans="1:29" x14ac:dyDescent="0.25">
      <c r="A21" s="4"/>
      <c r="B21" s="23" t="s">
        <v>418</v>
      </c>
      <c r="C21" s="20"/>
      <c r="D21" s="3"/>
      <c r="E21" s="9" t="s">
        <v>64</v>
      </c>
      <c r="F21" s="13" t="s">
        <v>79</v>
      </c>
      <c r="AA21"/>
      <c r="AB21"/>
      <c r="AC21"/>
    </row>
    <row r="22" spans="1:29" x14ac:dyDescent="0.25">
      <c r="A22" s="4"/>
      <c r="B22" s="23" t="s">
        <v>109</v>
      </c>
      <c r="C22" s="20"/>
      <c r="D22" s="3"/>
      <c r="E22" s="9"/>
      <c r="F22" s="13"/>
      <c r="AA22"/>
      <c r="AB22"/>
      <c r="AC22"/>
    </row>
    <row r="23" spans="1:29" x14ac:dyDescent="0.25">
      <c r="A23" s="60"/>
      <c r="B23" s="23" t="s">
        <v>80</v>
      </c>
      <c r="C23" s="23"/>
      <c r="D23" s="3" t="s">
        <v>81</v>
      </c>
      <c r="E23" s="10" t="s">
        <v>67</v>
      </c>
      <c r="F23" s="24" t="s">
        <v>82</v>
      </c>
      <c r="AA23"/>
      <c r="AB23"/>
      <c r="AC23"/>
    </row>
    <row r="24" spans="1:29" ht="7.5" customHeight="1" x14ac:dyDescent="0.25">
      <c r="A24" s="20"/>
      <c r="B24" s="60"/>
      <c r="C24" s="4"/>
      <c r="D24" s="4"/>
      <c r="E24" s="7"/>
      <c r="F24" s="7"/>
      <c r="G24"/>
      <c r="H24"/>
      <c r="I24"/>
      <c r="J24"/>
      <c r="K24"/>
      <c r="L24"/>
      <c r="M24"/>
      <c r="N24"/>
      <c r="O24"/>
      <c r="P24"/>
      <c r="Q24"/>
      <c r="R24"/>
      <c r="S24"/>
      <c r="T24"/>
      <c r="U24"/>
      <c r="V24"/>
      <c r="W24"/>
      <c r="X24"/>
      <c r="Y24"/>
      <c r="Z24"/>
      <c r="AA24"/>
      <c r="AB24"/>
      <c r="AC24"/>
    </row>
    <row r="25" spans="1:29" x14ac:dyDescent="0.25">
      <c r="A25" s="12"/>
      <c r="B25" s="66" t="s">
        <v>47</v>
      </c>
      <c r="C25" s="12"/>
      <c r="D25" s="22"/>
      <c r="E25" s="7"/>
      <c r="F25" s="7"/>
      <c r="AA25"/>
      <c r="AB25"/>
      <c r="AC25"/>
    </row>
    <row r="26" spans="1:29" x14ac:dyDescent="0.25">
      <c r="A26" s="4"/>
      <c r="B26" s="23" t="s">
        <v>419</v>
      </c>
      <c r="C26" s="20"/>
      <c r="D26" s="3"/>
      <c r="E26" s="9" t="s">
        <v>64</v>
      </c>
      <c r="F26" s="13" t="s">
        <v>79</v>
      </c>
      <c r="AA26"/>
      <c r="AB26"/>
      <c r="AC26"/>
    </row>
    <row r="27" spans="1:29" x14ac:dyDescent="0.25">
      <c r="A27" s="4"/>
      <c r="B27" s="23" t="s">
        <v>109</v>
      </c>
      <c r="C27" s="20"/>
      <c r="D27" s="3"/>
      <c r="E27" s="9"/>
      <c r="F27" s="13"/>
      <c r="AA27"/>
      <c r="AB27"/>
      <c r="AC27"/>
    </row>
    <row r="28" spans="1:29" x14ac:dyDescent="0.25">
      <c r="A28" s="60"/>
      <c r="B28" s="23" t="s">
        <v>110</v>
      </c>
      <c r="C28" s="23"/>
      <c r="D28" s="3" t="s">
        <v>81</v>
      </c>
      <c r="E28" s="10" t="s">
        <v>67</v>
      </c>
      <c r="F28" s="24" t="s">
        <v>82</v>
      </c>
      <c r="AA28"/>
      <c r="AB28"/>
      <c r="AC28"/>
    </row>
    <row r="29" spans="1:29" x14ac:dyDescent="0.25">
      <c r="A29" s="59"/>
      <c r="B29" s="23"/>
      <c r="C29" s="22"/>
      <c r="D29" s="22"/>
      <c r="E29" s="7"/>
      <c r="F29" s="7"/>
      <c r="G29"/>
      <c r="H29"/>
      <c r="I29"/>
      <c r="J29"/>
      <c r="K29"/>
      <c r="L29"/>
      <c r="M29"/>
      <c r="N29"/>
      <c r="O29"/>
      <c r="P29"/>
      <c r="Q29"/>
      <c r="R29"/>
      <c r="S29"/>
      <c r="T29"/>
      <c r="U29"/>
      <c r="V29"/>
      <c r="W29"/>
      <c r="X29"/>
      <c r="Y29"/>
      <c r="Z29"/>
      <c r="AA29"/>
      <c r="AB29"/>
      <c r="AC29"/>
    </row>
    <row r="30" spans="1:29" x14ac:dyDescent="0.25">
      <c r="A30" s="59" t="s">
        <v>60</v>
      </c>
      <c r="B30" s="69"/>
      <c r="C30" s="20"/>
      <c r="D30" s="4"/>
      <c r="E30" s="11"/>
      <c r="F30" s="24"/>
      <c r="AA30"/>
      <c r="AB30"/>
      <c r="AC30"/>
    </row>
    <row r="31" spans="1:29" x14ac:dyDescent="0.25">
      <c r="A31" s="73"/>
      <c r="B31" s="66" t="s">
        <v>111</v>
      </c>
      <c r="C31" s="22"/>
      <c r="D31" s="4"/>
      <c r="E31" s="11"/>
      <c r="F31" s="24"/>
      <c r="AA31"/>
      <c r="AB31"/>
      <c r="AC31"/>
    </row>
    <row r="32" spans="1:29" x14ac:dyDescent="0.25">
      <c r="A32" s="4"/>
      <c r="B32" s="23" t="s">
        <v>420</v>
      </c>
      <c r="C32" s="20"/>
      <c r="D32" s="19"/>
      <c r="E32" s="9" t="s">
        <v>64</v>
      </c>
      <c r="F32" s="15" t="s">
        <v>74</v>
      </c>
      <c r="AA32"/>
      <c r="AB32"/>
      <c r="AC32"/>
    </row>
    <row r="33" spans="1:29" x14ac:dyDescent="0.25">
      <c r="A33" s="4"/>
      <c r="B33" s="23" t="s">
        <v>114</v>
      </c>
      <c r="C33" s="20"/>
      <c r="D33" s="19"/>
      <c r="E33" s="9"/>
      <c r="F33" s="15"/>
      <c r="AA33"/>
      <c r="AB33"/>
      <c r="AC33"/>
    </row>
    <row r="34" spans="1:29" x14ac:dyDescent="0.25">
      <c r="A34" s="4"/>
      <c r="B34" s="23" t="s">
        <v>115</v>
      </c>
      <c r="C34" s="20"/>
      <c r="D34" s="19"/>
      <c r="E34" s="9"/>
      <c r="F34" s="15"/>
      <c r="AA34"/>
      <c r="AB34"/>
      <c r="AC34"/>
    </row>
    <row r="35" spans="1:29" ht="30" x14ac:dyDescent="0.25">
      <c r="A35" s="4"/>
      <c r="B35" s="67" t="s">
        <v>421</v>
      </c>
      <c r="C35" s="20"/>
      <c r="D35" s="19"/>
      <c r="E35" s="9"/>
      <c r="F35" s="15"/>
      <c r="AA35"/>
      <c r="AB35"/>
      <c r="AC35"/>
    </row>
    <row r="36" spans="1:29" ht="7.5" customHeight="1" x14ac:dyDescent="0.25">
      <c r="A36" s="20"/>
      <c r="B36" s="60"/>
      <c r="C36" s="4"/>
      <c r="D36" s="4"/>
      <c r="E36" s="7"/>
      <c r="F36" s="7"/>
      <c r="G36"/>
      <c r="H36"/>
      <c r="I36"/>
      <c r="J36"/>
      <c r="K36"/>
      <c r="L36"/>
      <c r="M36"/>
      <c r="N36"/>
      <c r="O36"/>
      <c r="P36"/>
      <c r="Q36"/>
      <c r="R36"/>
      <c r="S36"/>
      <c r="T36"/>
      <c r="U36"/>
      <c r="V36"/>
      <c r="W36"/>
      <c r="X36"/>
      <c r="Y36"/>
      <c r="Z36"/>
      <c r="AA36"/>
      <c r="AB36"/>
      <c r="AC36"/>
    </row>
    <row r="37" spans="1:29" x14ac:dyDescent="0.25">
      <c r="A37" s="73"/>
      <c r="B37" s="66" t="s">
        <v>116</v>
      </c>
      <c r="C37" s="22"/>
      <c r="D37" s="4"/>
      <c r="E37" s="11"/>
      <c r="F37" s="24"/>
      <c r="AA37"/>
      <c r="AB37"/>
      <c r="AC37"/>
    </row>
    <row r="38" spans="1:29" x14ac:dyDescent="0.25">
      <c r="A38" s="73"/>
      <c r="B38" s="23" t="s">
        <v>418</v>
      </c>
      <c r="C38" s="22"/>
      <c r="D38" s="4"/>
      <c r="E38" s="11"/>
      <c r="F38" s="24"/>
      <c r="AA38"/>
      <c r="AB38"/>
      <c r="AC38"/>
    </row>
    <row r="39" spans="1:29" x14ac:dyDescent="0.25">
      <c r="A39" s="73"/>
      <c r="B39" s="23" t="s">
        <v>126</v>
      </c>
      <c r="C39" s="22"/>
      <c r="D39" s="4"/>
      <c r="E39" s="11"/>
      <c r="F39" s="24"/>
      <c r="AA39"/>
      <c r="AB39"/>
      <c r="AC39"/>
    </row>
    <row r="40" spans="1:29" x14ac:dyDescent="0.25">
      <c r="A40" s="73"/>
      <c r="B40" s="23" t="s">
        <v>117</v>
      </c>
      <c r="C40" s="22"/>
      <c r="D40" s="4"/>
      <c r="E40" s="11"/>
      <c r="F40" s="24"/>
      <c r="AA40"/>
      <c r="AB40"/>
      <c r="AC40"/>
    </row>
    <row r="41" spans="1:29" x14ac:dyDescent="0.25">
      <c r="A41" s="73"/>
      <c r="B41" s="23" t="s">
        <v>118</v>
      </c>
      <c r="C41" s="22"/>
      <c r="D41" s="4"/>
      <c r="E41" s="11"/>
      <c r="F41" s="24"/>
      <c r="AA41"/>
      <c r="AB41"/>
      <c r="AC41"/>
    </row>
    <row r="42" spans="1:29" ht="30" x14ac:dyDescent="0.25">
      <c r="A42" s="4"/>
      <c r="B42" s="67" t="s">
        <v>422</v>
      </c>
      <c r="C42" s="20"/>
      <c r="D42" s="19"/>
      <c r="E42" s="9"/>
      <c r="F42" s="15"/>
      <c r="AA42"/>
      <c r="AB42"/>
      <c r="AC42"/>
    </row>
    <row r="43" spans="1:29" x14ac:dyDescent="0.25">
      <c r="A43" s="59"/>
      <c r="B43" s="23"/>
      <c r="C43" s="22"/>
      <c r="D43" s="22"/>
      <c r="E43" s="7"/>
      <c r="F43" s="7"/>
      <c r="G43"/>
      <c r="H43"/>
      <c r="I43"/>
      <c r="J43"/>
      <c r="K43"/>
      <c r="L43"/>
      <c r="M43"/>
      <c r="N43"/>
      <c r="O43"/>
      <c r="P43"/>
      <c r="Q43"/>
      <c r="R43"/>
      <c r="S43"/>
      <c r="T43"/>
      <c r="U43"/>
      <c r="V43"/>
      <c r="W43"/>
      <c r="X43"/>
      <c r="Y43"/>
      <c r="Z43"/>
      <c r="AA43"/>
      <c r="AB43"/>
      <c r="AC43"/>
    </row>
    <row r="44" spans="1:29" x14ac:dyDescent="0.25">
      <c r="A44" s="59" t="s">
        <v>102</v>
      </c>
      <c r="B44" s="66"/>
      <c r="C44" s="22"/>
      <c r="D44" s="22"/>
      <c r="E44" s="7"/>
      <c r="F44" s="7"/>
      <c r="G44"/>
      <c r="H44"/>
      <c r="I44"/>
      <c r="J44"/>
      <c r="K44"/>
      <c r="L44"/>
      <c r="M44"/>
      <c r="N44"/>
      <c r="O44"/>
      <c r="P44"/>
      <c r="Q44"/>
      <c r="R44"/>
      <c r="S44"/>
      <c r="T44"/>
      <c r="U44"/>
      <c r="V44"/>
      <c r="W44"/>
      <c r="X44"/>
      <c r="Y44"/>
      <c r="Z44"/>
      <c r="AA44"/>
      <c r="AB44"/>
      <c r="AC44"/>
    </row>
    <row r="45" spans="1:29" x14ac:dyDescent="0.25">
      <c r="A45" s="22"/>
      <c r="B45" s="66" t="s">
        <v>172</v>
      </c>
      <c r="C45" s="22"/>
      <c r="D45" s="22"/>
      <c r="E45" s="7"/>
      <c r="F45" s="7"/>
      <c r="G45"/>
      <c r="H45"/>
      <c r="I45"/>
      <c r="J45"/>
      <c r="K45"/>
      <c r="L45"/>
      <c r="M45"/>
      <c r="N45"/>
      <c r="O45"/>
      <c r="P45"/>
      <c r="Q45"/>
      <c r="R45"/>
      <c r="S45"/>
      <c r="T45"/>
      <c r="U45"/>
      <c r="V45"/>
      <c r="W45"/>
      <c r="X45"/>
      <c r="Y45"/>
      <c r="Z45"/>
      <c r="AA45"/>
      <c r="AB45"/>
      <c r="AC45"/>
    </row>
    <row r="46" spans="1:29" x14ac:dyDescent="0.25">
      <c r="A46" s="73"/>
      <c r="B46" s="23" t="s">
        <v>418</v>
      </c>
      <c r="C46" s="20"/>
      <c r="D46" s="3"/>
      <c r="E46" s="9" t="s">
        <v>64</v>
      </c>
      <c r="F46" s="25" t="s">
        <v>65</v>
      </c>
      <c r="G46"/>
      <c r="H46"/>
      <c r="I46"/>
      <c r="J46"/>
      <c r="K46"/>
      <c r="L46"/>
      <c r="M46"/>
      <c r="N46"/>
      <c r="O46"/>
      <c r="P46"/>
      <c r="Q46"/>
      <c r="R46"/>
      <c r="S46"/>
      <c r="T46"/>
      <c r="U46"/>
      <c r="V46"/>
      <c r="W46"/>
      <c r="X46"/>
      <c r="Y46"/>
      <c r="Z46"/>
      <c r="AA46"/>
      <c r="AB46"/>
      <c r="AC46"/>
    </row>
    <row r="47" spans="1:29" x14ac:dyDescent="0.25">
      <c r="A47" s="73"/>
      <c r="B47" s="67" t="s">
        <v>173</v>
      </c>
      <c r="C47" s="24"/>
      <c r="D47" s="3" t="s">
        <v>66</v>
      </c>
      <c r="E47" s="10" t="s">
        <v>67</v>
      </c>
      <c r="F47" s="24" t="s">
        <v>68</v>
      </c>
      <c r="G47"/>
      <c r="H47"/>
      <c r="I47"/>
      <c r="J47"/>
      <c r="K47"/>
      <c r="L47"/>
      <c r="M47"/>
      <c r="N47"/>
      <c r="O47"/>
      <c r="P47"/>
      <c r="Q47"/>
      <c r="R47"/>
      <c r="S47"/>
      <c r="T47"/>
      <c r="U47"/>
      <c r="V47"/>
      <c r="W47"/>
      <c r="X47"/>
      <c r="Y47"/>
      <c r="Z47"/>
      <c r="AA47"/>
      <c r="AB47"/>
      <c r="AC47"/>
    </row>
    <row r="48" spans="1:29" ht="7.5" customHeight="1" x14ac:dyDescent="0.25">
      <c r="A48" s="20"/>
      <c r="B48" s="60"/>
      <c r="C48" s="4"/>
      <c r="D48" s="4"/>
      <c r="E48" s="7" t="s">
        <v>69</v>
      </c>
      <c r="F48" s="7" t="s">
        <v>70</v>
      </c>
      <c r="G48"/>
      <c r="H48"/>
      <c r="I48"/>
      <c r="J48"/>
      <c r="K48"/>
      <c r="L48"/>
      <c r="M48"/>
      <c r="N48"/>
      <c r="O48"/>
      <c r="P48"/>
      <c r="Q48"/>
      <c r="R48"/>
      <c r="S48"/>
      <c r="T48"/>
      <c r="U48"/>
      <c r="V48"/>
      <c r="W48"/>
      <c r="X48"/>
      <c r="Y48"/>
      <c r="Z48"/>
      <c r="AA48"/>
      <c r="AB48"/>
      <c r="AC48"/>
    </row>
    <row r="49" spans="1:29" hidden="1" x14ac:dyDescent="0.25">
      <c r="A49" s="22"/>
      <c r="B49" s="66" t="s">
        <v>63</v>
      </c>
      <c r="C49" s="22"/>
      <c r="D49" s="22"/>
      <c r="E49" s="7"/>
      <c r="F49" s="7"/>
      <c r="G49"/>
      <c r="H49"/>
      <c r="I49"/>
      <c r="J49"/>
      <c r="K49"/>
      <c r="L49"/>
      <c r="M49"/>
      <c r="N49"/>
      <c r="O49"/>
      <c r="P49"/>
      <c r="Q49"/>
      <c r="R49"/>
      <c r="S49"/>
      <c r="T49"/>
      <c r="U49"/>
      <c r="V49"/>
      <c r="W49"/>
      <c r="X49"/>
      <c r="Y49"/>
      <c r="Z49"/>
      <c r="AA49"/>
      <c r="AB49"/>
      <c r="AC49"/>
    </row>
    <row r="50" spans="1:29" hidden="1" x14ac:dyDescent="0.25">
      <c r="A50" s="73"/>
      <c r="B50" s="23" t="s">
        <v>174</v>
      </c>
      <c r="C50" s="20"/>
      <c r="D50" s="3"/>
      <c r="E50" s="9" t="s">
        <v>64</v>
      </c>
      <c r="F50" s="25" t="s">
        <v>65</v>
      </c>
      <c r="G50"/>
      <c r="H50"/>
      <c r="I50"/>
      <c r="J50"/>
      <c r="K50"/>
      <c r="L50"/>
      <c r="M50"/>
      <c r="N50"/>
      <c r="O50"/>
      <c r="P50"/>
      <c r="Q50"/>
      <c r="R50"/>
      <c r="S50"/>
      <c r="T50"/>
      <c r="U50"/>
      <c r="V50"/>
      <c r="W50"/>
      <c r="X50"/>
      <c r="Y50"/>
      <c r="Z50"/>
      <c r="AA50"/>
      <c r="AB50"/>
      <c r="AC50"/>
    </row>
    <row r="51" spans="1:29" hidden="1" x14ac:dyDescent="0.25">
      <c r="A51" s="73"/>
      <c r="B51" s="67" t="s">
        <v>127</v>
      </c>
      <c r="C51" s="24"/>
      <c r="D51" s="3" t="s">
        <v>66</v>
      </c>
      <c r="E51" s="10" t="s">
        <v>67</v>
      </c>
      <c r="F51" s="24" t="s">
        <v>68</v>
      </c>
      <c r="G51"/>
      <c r="H51"/>
      <c r="I51"/>
      <c r="J51"/>
      <c r="K51"/>
      <c r="L51"/>
      <c r="M51"/>
      <c r="N51"/>
      <c r="O51"/>
      <c r="P51"/>
      <c r="Q51"/>
      <c r="R51"/>
      <c r="S51"/>
      <c r="T51"/>
      <c r="U51"/>
      <c r="V51"/>
      <c r="W51"/>
      <c r="X51"/>
      <c r="Y51"/>
      <c r="Z51"/>
      <c r="AA51"/>
      <c r="AB51"/>
      <c r="AC51"/>
    </row>
    <row r="52" spans="1:29" ht="7.5" hidden="1" customHeight="1" x14ac:dyDescent="0.25">
      <c r="A52" s="20"/>
      <c r="B52" s="60"/>
      <c r="C52" s="4"/>
      <c r="D52" s="4"/>
      <c r="E52" s="7" t="s">
        <v>69</v>
      </c>
      <c r="F52" s="7" t="s">
        <v>70</v>
      </c>
      <c r="G52"/>
      <c r="H52"/>
      <c r="I52"/>
      <c r="J52"/>
      <c r="K52"/>
      <c r="L52"/>
      <c r="M52"/>
      <c r="N52"/>
      <c r="O52"/>
      <c r="P52"/>
      <c r="Q52"/>
      <c r="R52"/>
      <c r="S52"/>
      <c r="T52"/>
      <c r="U52"/>
      <c r="V52"/>
      <c r="W52"/>
      <c r="X52"/>
      <c r="Y52"/>
      <c r="Z52"/>
      <c r="AA52"/>
      <c r="AB52"/>
      <c r="AC52"/>
    </row>
    <row r="53" spans="1:29" x14ac:dyDescent="0.25">
      <c r="A53" s="12"/>
      <c r="B53" s="68" t="s">
        <v>119</v>
      </c>
      <c r="C53" s="12"/>
      <c r="D53" s="22"/>
      <c r="E53" s="7"/>
      <c r="F53" s="7"/>
      <c r="G53"/>
      <c r="H53"/>
      <c r="I53"/>
      <c r="J53"/>
      <c r="K53"/>
      <c r="L53"/>
      <c r="M53"/>
      <c r="N53"/>
      <c r="O53"/>
      <c r="P53"/>
      <c r="Q53"/>
      <c r="R53"/>
      <c r="S53"/>
      <c r="T53"/>
      <c r="U53"/>
      <c r="V53"/>
      <c r="W53"/>
      <c r="X53"/>
      <c r="Y53"/>
      <c r="Z53"/>
      <c r="AA53"/>
      <c r="AB53"/>
      <c r="AC53"/>
    </row>
    <row r="54" spans="1:29" x14ac:dyDescent="0.25">
      <c r="A54" s="73"/>
      <c r="B54" s="23" t="s">
        <v>423</v>
      </c>
      <c r="C54" s="20"/>
      <c r="D54" s="3"/>
      <c r="E54" s="9" t="s">
        <v>64</v>
      </c>
      <c r="F54" s="25" t="s">
        <v>71</v>
      </c>
      <c r="G54"/>
      <c r="H54"/>
      <c r="I54"/>
      <c r="J54"/>
      <c r="K54"/>
      <c r="L54"/>
      <c r="M54"/>
      <c r="N54"/>
      <c r="O54"/>
      <c r="P54"/>
      <c r="Q54"/>
      <c r="R54"/>
      <c r="S54"/>
      <c r="T54"/>
      <c r="U54"/>
      <c r="V54"/>
      <c r="W54"/>
      <c r="X54"/>
      <c r="Y54"/>
      <c r="Z54"/>
      <c r="AA54"/>
      <c r="AB54"/>
      <c r="AC54"/>
    </row>
    <row r="55" spans="1:29" ht="15" customHeight="1" x14ac:dyDescent="0.25">
      <c r="A55" s="73"/>
      <c r="B55" s="67" t="s">
        <v>120</v>
      </c>
      <c r="C55" s="24"/>
      <c r="D55" s="3" t="s">
        <v>72</v>
      </c>
      <c r="E55" s="10" t="s">
        <v>67</v>
      </c>
      <c r="F55" s="24" t="s">
        <v>73</v>
      </c>
      <c r="G55"/>
      <c r="H55"/>
      <c r="I55"/>
      <c r="J55"/>
      <c r="K55"/>
      <c r="L55"/>
      <c r="M55"/>
      <c r="N55"/>
      <c r="O55"/>
      <c r="P55"/>
      <c r="Q55"/>
      <c r="R55"/>
      <c r="S55"/>
      <c r="T55"/>
      <c r="U55"/>
      <c r="V55"/>
      <c r="W55"/>
      <c r="X55"/>
      <c r="Y55"/>
      <c r="Z55"/>
      <c r="AA55"/>
      <c r="AB55"/>
      <c r="AC55"/>
    </row>
    <row r="56" spans="1:29" x14ac:dyDescent="0.25">
      <c r="A56" s="20"/>
      <c r="B56" s="23" t="s">
        <v>121</v>
      </c>
      <c r="C56" s="4"/>
      <c r="D56" s="4"/>
      <c r="E56" s="7"/>
      <c r="F56" s="7"/>
      <c r="AA56"/>
      <c r="AB56"/>
      <c r="AC56"/>
    </row>
    <row r="57" spans="1:29" ht="3" customHeight="1" x14ac:dyDescent="0.25">
      <c r="A57" s="59"/>
      <c r="B57" s="23"/>
      <c r="C57" s="22"/>
      <c r="D57" s="22"/>
      <c r="E57" s="7"/>
      <c r="F57" s="7"/>
      <c r="G57"/>
      <c r="H57"/>
      <c r="I57"/>
      <c r="J57"/>
      <c r="K57"/>
      <c r="L57"/>
      <c r="M57"/>
      <c r="N57"/>
      <c r="O57"/>
      <c r="P57"/>
      <c r="Q57"/>
      <c r="R57"/>
      <c r="S57"/>
      <c r="T57"/>
      <c r="U57"/>
      <c r="V57"/>
      <c r="W57"/>
      <c r="X57"/>
      <c r="Y57"/>
      <c r="Z57"/>
      <c r="AA57"/>
      <c r="AB57"/>
      <c r="AC57"/>
    </row>
    <row r="58" spans="1:29" x14ac:dyDescent="0.25">
      <c r="A58" s="59" t="s">
        <v>123</v>
      </c>
      <c r="B58" s="66"/>
      <c r="C58" s="22"/>
      <c r="D58" s="22"/>
      <c r="E58" s="7"/>
      <c r="F58" s="7"/>
      <c r="G58"/>
      <c r="H58"/>
      <c r="I58"/>
      <c r="J58"/>
      <c r="K58"/>
      <c r="L58"/>
      <c r="M58"/>
      <c r="N58"/>
      <c r="O58"/>
      <c r="P58"/>
      <c r="Q58"/>
      <c r="R58"/>
      <c r="S58"/>
      <c r="T58"/>
      <c r="U58"/>
      <c r="V58"/>
      <c r="W58"/>
      <c r="X58"/>
      <c r="Y58"/>
      <c r="Z58"/>
      <c r="AA58"/>
      <c r="AB58"/>
      <c r="AC58"/>
    </row>
    <row r="59" spans="1:29" x14ac:dyDescent="0.25">
      <c r="A59" s="59"/>
      <c r="B59" s="23" t="s">
        <v>424</v>
      </c>
      <c r="C59" s="22"/>
      <c r="D59" s="22"/>
      <c r="E59" s="7"/>
      <c r="F59" s="7"/>
      <c r="G59"/>
      <c r="H59"/>
      <c r="I59"/>
      <c r="J59"/>
      <c r="K59"/>
      <c r="L59"/>
      <c r="M59"/>
      <c r="N59"/>
      <c r="O59"/>
      <c r="P59"/>
      <c r="Q59"/>
      <c r="R59"/>
      <c r="S59"/>
      <c r="T59"/>
      <c r="U59"/>
      <c r="V59"/>
      <c r="W59"/>
      <c r="X59"/>
      <c r="Y59"/>
      <c r="Z59"/>
      <c r="AA59"/>
      <c r="AB59"/>
      <c r="AC59"/>
    </row>
    <row r="60" spans="1:29" x14ac:dyDescent="0.25">
      <c r="A60" s="59"/>
      <c r="B60" s="23" t="s">
        <v>128</v>
      </c>
      <c r="C60" s="22"/>
      <c r="D60" s="22"/>
      <c r="E60" s="7"/>
      <c r="F60" s="7"/>
      <c r="G60"/>
      <c r="H60"/>
      <c r="I60"/>
      <c r="J60"/>
      <c r="K60"/>
      <c r="L60"/>
      <c r="M60"/>
      <c r="N60"/>
      <c r="O60"/>
      <c r="P60"/>
      <c r="Q60"/>
      <c r="R60"/>
      <c r="S60"/>
      <c r="T60"/>
      <c r="U60"/>
      <c r="V60"/>
      <c r="W60"/>
      <c r="X60"/>
      <c r="Y60"/>
      <c r="Z60"/>
      <c r="AA60"/>
      <c r="AB60"/>
      <c r="AC60"/>
    </row>
    <row r="61" spans="1:29" x14ac:dyDescent="0.25">
      <c r="A61" s="59"/>
      <c r="B61" s="23" t="s">
        <v>124</v>
      </c>
      <c r="C61" s="22"/>
      <c r="D61" s="22"/>
      <c r="E61" s="7"/>
      <c r="F61" s="7"/>
      <c r="G61"/>
      <c r="H61"/>
      <c r="I61"/>
      <c r="J61"/>
      <c r="K61"/>
      <c r="L61"/>
      <c r="M61"/>
      <c r="N61"/>
      <c r="O61"/>
      <c r="P61"/>
      <c r="Q61"/>
      <c r="R61"/>
      <c r="S61"/>
      <c r="T61"/>
      <c r="U61"/>
      <c r="V61"/>
      <c r="W61"/>
      <c r="X61"/>
      <c r="Y61"/>
      <c r="Z61"/>
      <c r="AA61"/>
      <c r="AB61"/>
      <c r="AC61"/>
    </row>
    <row r="62" spans="1:29" x14ac:dyDescent="0.25">
      <c r="A62" s="59"/>
      <c r="B62" s="72" t="s">
        <v>184</v>
      </c>
      <c r="C62" s="22"/>
      <c r="D62" s="22"/>
      <c r="E62" s="7"/>
      <c r="F62" s="7"/>
      <c r="G62"/>
      <c r="H62"/>
      <c r="I62"/>
      <c r="J62"/>
      <c r="K62"/>
      <c r="L62"/>
      <c r="M62"/>
      <c r="N62"/>
      <c r="O62"/>
      <c r="P62"/>
      <c r="Q62"/>
      <c r="R62"/>
      <c r="S62"/>
      <c r="T62"/>
      <c r="U62"/>
      <c r="V62"/>
      <c r="W62"/>
      <c r="X62"/>
      <c r="Y62"/>
      <c r="Z62"/>
      <c r="AA62"/>
      <c r="AB62"/>
      <c r="AC62"/>
    </row>
    <row r="63" spans="1:29" x14ac:dyDescent="0.25">
      <c r="A63" s="59"/>
      <c r="B63" s="23" t="s">
        <v>181</v>
      </c>
      <c r="C63" s="22"/>
      <c r="D63" s="22"/>
      <c r="E63" s="7"/>
      <c r="F63" s="7"/>
      <c r="G63"/>
      <c r="H63"/>
      <c r="I63"/>
      <c r="J63"/>
      <c r="K63"/>
      <c r="L63"/>
      <c r="M63"/>
      <c r="N63"/>
      <c r="O63"/>
      <c r="P63"/>
      <c r="Q63"/>
      <c r="R63"/>
      <c r="S63"/>
      <c r="T63"/>
      <c r="U63"/>
      <c r="V63"/>
      <c r="W63"/>
      <c r="X63"/>
      <c r="Y63"/>
      <c r="Z63"/>
      <c r="AA63"/>
      <c r="AB63"/>
      <c r="AC63"/>
    </row>
    <row r="64" spans="1:29" x14ac:dyDescent="0.25">
      <c r="A64" s="59"/>
      <c r="B64" s="23" t="s">
        <v>125</v>
      </c>
      <c r="C64" s="22"/>
      <c r="D64" s="22"/>
      <c r="E64" s="7"/>
      <c r="F64" s="7"/>
      <c r="G64"/>
      <c r="H64"/>
      <c r="I64"/>
      <c r="J64"/>
      <c r="K64"/>
      <c r="L64"/>
      <c r="M64"/>
      <c r="N64"/>
      <c r="O64"/>
      <c r="P64"/>
      <c r="Q64"/>
      <c r="R64"/>
      <c r="S64"/>
      <c r="T64"/>
      <c r="U64"/>
      <c r="V64"/>
      <c r="W64"/>
      <c r="X64"/>
      <c r="Y64"/>
      <c r="Z64"/>
      <c r="AA64"/>
      <c r="AB64"/>
      <c r="AC64"/>
    </row>
    <row r="65" spans="1:29" ht="30" x14ac:dyDescent="0.25">
      <c r="A65" s="59"/>
      <c r="B65" s="71" t="s">
        <v>182</v>
      </c>
      <c r="C65" s="22"/>
      <c r="D65" s="22"/>
      <c r="E65" s="7"/>
      <c r="F65" s="7"/>
      <c r="G65"/>
      <c r="H65"/>
      <c r="I65"/>
      <c r="J65"/>
      <c r="K65"/>
      <c r="L65"/>
      <c r="M65"/>
      <c r="N65"/>
      <c r="O65"/>
      <c r="P65"/>
      <c r="Q65"/>
      <c r="R65"/>
      <c r="S65"/>
      <c r="T65"/>
      <c r="U65"/>
      <c r="V65"/>
      <c r="W65"/>
      <c r="X65"/>
      <c r="Y65"/>
      <c r="Z65"/>
      <c r="AA65"/>
      <c r="AB65"/>
      <c r="AC65"/>
    </row>
    <row r="66" spans="1:29" x14ac:dyDescent="0.25">
      <c r="A66" s="59"/>
      <c r="B66" s="72" t="s">
        <v>183</v>
      </c>
      <c r="C66" s="22"/>
      <c r="D66" s="22"/>
      <c r="E66" s="7"/>
      <c r="F66" s="7"/>
      <c r="G66"/>
      <c r="H66"/>
      <c r="I66"/>
      <c r="J66"/>
      <c r="K66"/>
      <c r="L66"/>
      <c r="M66"/>
      <c r="N66"/>
      <c r="O66"/>
      <c r="P66"/>
      <c r="Q66"/>
      <c r="R66"/>
      <c r="S66"/>
      <c r="T66"/>
      <c r="U66"/>
      <c r="V66"/>
      <c r="W66"/>
      <c r="X66"/>
      <c r="Y66"/>
      <c r="Z66"/>
      <c r="AA66"/>
      <c r="AB66"/>
      <c r="AC66"/>
    </row>
    <row r="67" spans="1:29" x14ac:dyDescent="0.25">
      <c r="A67" s="59"/>
      <c r="B67" s="23"/>
      <c r="C67" s="22"/>
      <c r="D67" s="22"/>
      <c r="E67" s="7"/>
      <c r="F67" s="7"/>
      <c r="G67"/>
      <c r="H67"/>
      <c r="I67"/>
      <c r="J67"/>
      <c r="K67"/>
      <c r="L67"/>
      <c r="M67"/>
      <c r="N67"/>
      <c r="O67"/>
      <c r="P67"/>
      <c r="Q67"/>
      <c r="R67"/>
      <c r="S67"/>
      <c r="T67"/>
      <c r="U67"/>
      <c r="V67"/>
      <c r="W67"/>
      <c r="X67"/>
      <c r="Y67"/>
      <c r="Z67"/>
      <c r="AA67"/>
      <c r="AB67"/>
      <c r="AC67"/>
    </row>
    <row r="68" spans="1:29" x14ac:dyDescent="0.25">
      <c r="A68" s="22" t="s">
        <v>75</v>
      </c>
      <c r="B68" s="65"/>
      <c r="C68" s="22"/>
      <c r="D68" s="22"/>
      <c r="E68" s="7"/>
      <c r="F68" s="7"/>
      <c r="AA68"/>
      <c r="AB68"/>
      <c r="AC68"/>
    </row>
    <row r="69" spans="1:29" x14ac:dyDescent="0.25">
      <c r="A69" s="4"/>
      <c r="B69" s="23" t="s">
        <v>425</v>
      </c>
      <c r="C69" s="20"/>
      <c r="D69" s="3"/>
      <c r="E69" s="9" t="s">
        <v>64</v>
      </c>
      <c r="F69" s="13" t="s">
        <v>76</v>
      </c>
      <c r="AA69"/>
      <c r="AB69"/>
      <c r="AC69"/>
    </row>
    <row r="70" spans="1:29" x14ac:dyDescent="0.25">
      <c r="A70" s="4"/>
      <c r="B70" s="23" t="s">
        <v>194</v>
      </c>
      <c r="C70" s="20"/>
      <c r="D70" s="3"/>
      <c r="E70" s="9"/>
      <c r="F70" s="13"/>
      <c r="AA70"/>
      <c r="AB70"/>
      <c r="AC70"/>
    </row>
    <row r="71" spans="1:29" ht="30" x14ac:dyDescent="0.25">
      <c r="A71" s="2"/>
      <c r="B71" s="71" t="s">
        <v>188</v>
      </c>
      <c r="E71"/>
      <c r="F71"/>
    </row>
    <row r="72" spans="1:29" x14ac:dyDescent="0.25">
      <c r="A72" s="60"/>
      <c r="B72" s="23" t="s">
        <v>122</v>
      </c>
      <c r="C72" s="23"/>
      <c r="D72" s="3" t="s">
        <v>77</v>
      </c>
      <c r="E72" s="10" t="s">
        <v>67</v>
      </c>
      <c r="F72" s="24" t="s">
        <v>78</v>
      </c>
      <c r="AA72"/>
      <c r="AB72"/>
      <c r="AC72"/>
    </row>
    <row r="73" spans="1:29" x14ac:dyDescent="0.25">
      <c r="A73" s="4"/>
      <c r="B73" s="23" t="s">
        <v>195</v>
      </c>
      <c r="C73" s="20"/>
      <c r="D73" s="3"/>
      <c r="E73" s="9"/>
      <c r="F73" s="13"/>
      <c r="AA73"/>
      <c r="AB73"/>
      <c r="AC73"/>
    </row>
    <row r="74" spans="1:29" x14ac:dyDescent="0.25">
      <c r="A74" s="4"/>
      <c r="B74" s="71" t="s">
        <v>187</v>
      </c>
      <c r="C74" s="20"/>
      <c r="D74" s="3"/>
      <c r="E74" s="9"/>
      <c r="F74" s="13"/>
      <c r="AA74"/>
      <c r="AB74"/>
      <c r="AC74"/>
    </row>
    <row r="75" spans="1:29" x14ac:dyDescent="0.25">
      <c r="A75" s="73"/>
    </row>
    <row r="76" spans="1:29" x14ac:dyDescent="0.25">
      <c r="A76" s="22" t="s">
        <v>236</v>
      </c>
      <c r="B76" s="65"/>
      <c r="C76" s="22"/>
      <c r="D76" s="22"/>
      <c r="E76" s="7"/>
      <c r="F76" s="7"/>
      <c r="AA76"/>
      <c r="AB76"/>
      <c r="AC76"/>
    </row>
    <row r="77" spans="1:29" x14ac:dyDescent="0.25">
      <c r="A77" s="4"/>
      <c r="B77" s="23" t="s">
        <v>426</v>
      </c>
      <c r="C77" s="20"/>
      <c r="D77" s="3"/>
      <c r="E77" s="9" t="s">
        <v>64</v>
      </c>
      <c r="F77" s="13" t="s">
        <v>76</v>
      </c>
      <c r="AA77"/>
      <c r="AB77"/>
      <c r="AC77"/>
    </row>
    <row r="78" spans="1:29" x14ac:dyDescent="0.25">
      <c r="A78" s="4"/>
      <c r="B78" s="23" t="s">
        <v>346</v>
      </c>
      <c r="C78" s="20"/>
      <c r="D78" s="3"/>
      <c r="E78" s="9"/>
      <c r="F78" s="13"/>
      <c r="AA78"/>
      <c r="AB78"/>
      <c r="AC78"/>
    </row>
    <row r="79" spans="1:29" ht="30" x14ac:dyDescent="0.25">
      <c r="A79" s="2"/>
      <c r="B79" s="71" t="s">
        <v>347</v>
      </c>
      <c r="E79"/>
      <c r="F79"/>
    </row>
    <row r="80" spans="1:29" x14ac:dyDescent="0.25">
      <c r="A80" s="2"/>
      <c r="B80" s="67" t="s">
        <v>352</v>
      </c>
      <c r="E80"/>
      <c r="F80"/>
    </row>
    <row r="81" spans="1:29" x14ac:dyDescent="0.25">
      <c r="A81" s="2"/>
      <c r="B81" s="67" t="s">
        <v>349</v>
      </c>
      <c r="E81"/>
      <c r="F81"/>
    </row>
    <row r="82" spans="1:29" x14ac:dyDescent="0.25">
      <c r="A82" s="2"/>
      <c r="B82" s="67" t="s">
        <v>350</v>
      </c>
      <c r="E82"/>
      <c r="F82"/>
    </row>
    <row r="83" spans="1:29" x14ac:dyDescent="0.25">
      <c r="A83" s="4"/>
      <c r="B83" s="71" t="s">
        <v>348</v>
      </c>
      <c r="C83" s="20"/>
      <c r="D83" s="3"/>
      <c r="E83" s="9"/>
      <c r="F83" s="13"/>
      <c r="AA83"/>
      <c r="AB83"/>
      <c r="AC83"/>
    </row>
    <row r="84" spans="1:29" x14ac:dyDescent="0.25">
      <c r="A84" s="2"/>
      <c r="B84" s="67" t="s">
        <v>351</v>
      </c>
      <c r="E84"/>
      <c r="F84"/>
    </row>
    <row r="85" spans="1:29" x14ac:dyDescent="0.25">
      <c r="A85" s="2"/>
      <c r="B85" s="67" t="s">
        <v>353</v>
      </c>
      <c r="E85"/>
      <c r="F85"/>
    </row>
    <row r="86" spans="1:29" x14ac:dyDescent="0.25">
      <c r="A86" s="73"/>
    </row>
    <row r="87" spans="1:29" x14ac:dyDescent="0.25">
      <c r="A87" s="22" t="s">
        <v>199</v>
      </c>
      <c r="B87" s="65"/>
    </row>
    <row r="88" spans="1:29" x14ac:dyDescent="0.25">
      <c r="A88" s="73"/>
      <c r="B88" s="65"/>
    </row>
    <row r="89" spans="1:29" x14ac:dyDescent="0.25">
      <c r="A89" s="73"/>
      <c r="B89" s="65"/>
    </row>
    <row r="90" spans="1:29" x14ac:dyDescent="0.25">
      <c r="A90" s="73"/>
      <c r="B90" s="65"/>
    </row>
    <row r="91" spans="1:29" x14ac:dyDescent="0.25">
      <c r="A91" s="73"/>
      <c r="B91" s="65"/>
    </row>
  </sheetData>
  <mergeCells count="1">
    <mergeCell ref="A1:F1"/>
  </mergeCells>
  <printOptions horizontalCentered="1"/>
  <pageMargins left="0" right="0" top="0.25" bottom="0" header="0" footer="0"/>
  <pageSetup scale="9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sheetPr>
  <dimension ref="B1:H9"/>
  <sheetViews>
    <sheetView showGridLines="0" zoomScaleNormal="100" workbookViewId="0">
      <selection activeCell="C8" sqref="C8"/>
    </sheetView>
  </sheetViews>
  <sheetFormatPr defaultRowHeight="30" customHeight="1" x14ac:dyDescent="0.25"/>
  <cols>
    <col min="1" max="1" width="1.85546875" style="238" customWidth="1"/>
    <col min="2" max="2" width="4.85546875" style="238" customWidth="1"/>
    <col min="3" max="3" width="27.28515625" style="238" customWidth="1"/>
    <col min="4" max="4" width="4.42578125" style="238" customWidth="1"/>
    <col min="5" max="6" width="20.5703125" style="238" customWidth="1"/>
    <col min="7" max="8" width="9.140625" style="238"/>
    <col min="9" max="9" width="1.85546875" style="238" customWidth="1"/>
    <col min="10" max="16384" width="9.140625" style="238"/>
  </cols>
  <sheetData>
    <row r="1" spans="2:8" ht="8.25" customHeight="1" x14ac:dyDescent="0.25">
      <c r="B1" s="419" t="s">
        <v>258</v>
      </c>
      <c r="C1" s="419"/>
      <c r="D1" s="419"/>
      <c r="E1" s="419"/>
      <c r="F1" s="419"/>
      <c r="G1" s="419"/>
      <c r="H1" s="419"/>
    </row>
    <row r="2" spans="2:8" ht="38.25" customHeight="1" x14ac:dyDescent="0.25">
      <c r="B2" s="419"/>
      <c r="C2" s="419"/>
      <c r="D2" s="419"/>
      <c r="E2" s="419"/>
      <c r="F2" s="419"/>
      <c r="G2" s="419"/>
      <c r="H2" s="419"/>
    </row>
    <row r="3" spans="2:8" ht="25.5" customHeight="1" x14ac:dyDescent="0.25">
      <c r="B3" s="420" t="s">
        <v>259</v>
      </c>
      <c r="C3" s="420"/>
      <c r="D3" s="420"/>
      <c r="E3" s="420"/>
      <c r="F3" s="420"/>
      <c r="G3" s="420"/>
      <c r="H3" s="420"/>
    </row>
    <row r="4" spans="2:8" ht="30" customHeight="1" thickBot="1" x14ac:dyDescent="0.3">
      <c r="B4" s="421" t="s">
        <v>260</v>
      </c>
      <c r="C4" s="421"/>
      <c r="D4" s="421"/>
    </row>
    <row r="5" spans="2:8" s="265" customFormat="1" ht="30" customHeight="1" x14ac:dyDescent="0.25">
      <c r="B5" s="262">
        <v>1</v>
      </c>
      <c r="C5" s="263" t="s">
        <v>286</v>
      </c>
      <c r="D5" s="264" t="str">
        <f>IF(ISBLANK(C5),"← Please select a value from drop-down",IF(COUNTIF($C$5:C5,C5)&gt;1,"You have selected "&amp;C5&amp;" twice.",""))</f>
        <v/>
      </c>
      <c r="G5" s="238"/>
    </row>
    <row r="6" spans="2:8" s="265" customFormat="1" ht="30" customHeight="1" x14ac:dyDescent="0.25">
      <c r="B6" s="266">
        <v>2</v>
      </c>
      <c r="C6" s="267" t="s">
        <v>329</v>
      </c>
      <c r="D6" s="264" t="str">
        <f>IF(ISBLANK(C6),"← Please select a value from drop-down",IF(COUNTIF($C$5:C6,C6)&gt;1,"You have selected "&amp;C6&amp;" twice.",""))</f>
        <v/>
      </c>
      <c r="G6" s="238"/>
    </row>
    <row r="7" spans="2:8" s="265" customFormat="1" ht="30" customHeight="1" x14ac:dyDescent="0.25">
      <c r="B7" s="266">
        <v>3</v>
      </c>
      <c r="C7" s="268" t="s">
        <v>357</v>
      </c>
      <c r="D7" s="264" t="str">
        <f>IF(ISBLANK(C7),"← Please select a value from drop-down",IF(COUNTIF($C$5:C7,C7)&gt;1,"You have selected "&amp;C7&amp;" twice.",""))</f>
        <v/>
      </c>
      <c r="G7" s="238"/>
    </row>
    <row r="8" spans="2:8" s="265" customFormat="1" ht="30" customHeight="1" x14ac:dyDescent="0.25">
      <c r="B8" s="266">
        <v>4</v>
      </c>
      <c r="C8" s="268" t="s">
        <v>362</v>
      </c>
      <c r="D8" s="264" t="str">
        <f>IF(ISBLANK(C8),"← Please select a value from drop-down",IF(COUNTIF($C$5:C8,C8)&gt;1,"You have selected "&amp;C8&amp;" twice.",""))</f>
        <v/>
      </c>
    </row>
    <row r="9" spans="2:8" s="265" customFormat="1" ht="30" customHeight="1" thickBot="1" x14ac:dyDescent="0.3">
      <c r="B9" s="269">
        <v>5</v>
      </c>
      <c r="C9" s="270" t="s">
        <v>327</v>
      </c>
      <c r="D9" s="264" t="str">
        <f>IF(ISBLANK(C9),"← Please select a value from drop-down",IF(COUNTIF($C$5:C9,C9)&gt;1,"You have selected "&amp;C9&amp;" twice.",""))</f>
        <v/>
      </c>
    </row>
  </sheetData>
  <sheetProtection selectLockedCells="1"/>
  <mergeCells count="3">
    <mergeCell ref="B1:H2"/>
    <mergeCell ref="B3:H3"/>
    <mergeCell ref="B4:D4"/>
  </mergeCells>
  <conditionalFormatting sqref="B5:C9">
    <cfRule type="expression" dxfId="120" priority="1">
      <formula>MOD(ROW(),2)</formula>
    </cfRule>
  </conditionalFormatting>
  <dataValidations count="4">
    <dataValidation type="list" errorStyle="warning" allowBlank="1" showInputMessage="1" showErrorMessage="1" error="Select Key Metric from the list. Select CANCEL, press ALT+DOWN ARROW for options, then DOWN ARROW and ENTER to make selection" prompt="Select Key Metric in this cell. Press ALT+DOWN ARROW for options, then DOWN ARROW and ENTER to make selection" sqref="C5:C9">
      <formula1>lstMetrics</formula1>
    </dataValidation>
    <dataValidation allowBlank="1" showInputMessage="1" showErrorMessage="1" prompt="Navigation link to Financial Report worksheet. Select Key Metrics in cells below, cells C5 through C9" sqref="B4:D4"/>
    <dataValidation allowBlank="1" showInputMessage="1" showErrorMessage="1" prompt="Title of this worksheet is in this cell and tip in cell below" sqref="B1:H2"/>
    <dataValidation allowBlank="1" showInputMessage="1" showErrorMessage="1" prompt="Select Key Metrics to be shown at the top of the annual financial report in this worksheet. Select cell B4 to navigate to Financial Report worksheet" sqref="A1"/>
  </dataValidations>
  <hyperlinks>
    <hyperlink ref="B4:C4" location="'Financial Report'!A1" tooltip="View financial report" display="  Click to view Financial Report"/>
    <hyperlink ref="B4:D4" location="'Financial Report'!A1" tooltip="Select to navigate to Financial Report worksheet" display="  Tap to view Financial Report"/>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B1:K66"/>
  <sheetViews>
    <sheetView showGridLines="0" zoomScaleNormal="100" workbookViewId="0">
      <pane ySplit="6" topLeftCell="A31" activePane="bottomLeft" state="frozen"/>
      <selection activeCell="C8" sqref="C8"/>
      <selection pane="bottomLeft" activeCell="C8" sqref="C8"/>
    </sheetView>
  </sheetViews>
  <sheetFormatPr defaultRowHeight="30" customHeight="1" x14ac:dyDescent="0.25"/>
  <cols>
    <col min="1" max="1" width="1.85546875" style="238" customWidth="1"/>
    <col min="2" max="2" width="24.42578125" style="238" customWidth="1"/>
    <col min="3" max="9" width="19.7109375" style="238" customWidth="1"/>
    <col min="10" max="10" width="1.85546875" style="238" customWidth="1"/>
    <col min="11" max="16384" width="9.140625" style="238"/>
  </cols>
  <sheetData>
    <row r="1" spans="2:11" ht="8.25" customHeight="1" x14ac:dyDescent="0.25">
      <c r="B1" s="419" t="s">
        <v>255</v>
      </c>
      <c r="C1" s="419"/>
      <c r="D1" s="419"/>
      <c r="E1" s="419"/>
      <c r="F1" s="419"/>
      <c r="G1" s="419"/>
      <c r="H1" s="419"/>
      <c r="I1" s="419"/>
    </row>
    <row r="2" spans="2:11" ht="38.25" customHeight="1" x14ac:dyDescent="0.25">
      <c r="B2" s="419"/>
      <c r="C2" s="419"/>
      <c r="D2" s="419"/>
      <c r="E2" s="419"/>
      <c r="F2" s="419"/>
      <c r="G2" s="419"/>
      <c r="H2" s="419"/>
      <c r="I2" s="419"/>
      <c r="K2" s="282" t="s">
        <v>280</v>
      </c>
    </row>
    <row r="3" spans="2:11" ht="18" x14ac:dyDescent="0.25">
      <c r="B3" s="422" t="s">
        <v>279</v>
      </c>
      <c r="C3" s="422"/>
      <c r="D3" s="422"/>
      <c r="E3" s="422"/>
      <c r="F3" s="422"/>
      <c r="G3" s="422"/>
      <c r="H3" s="422"/>
      <c r="I3" s="422"/>
    </row>
    <row r="4" spans="2:11" ht="18" x14ac:dyDescent="0.25">
      <c r="B4" s="257" t="str">
        <f>'Yr Over Yr Metrics and Trends'!B3:F3</f>
        <v>Life Sciences Institute</v>
      </c>
      <c r="C4" s="258"/>
      <c r="D4" s="258"/>
      <c r="E4" s="258"/>
      <c r="F4" s="258"/>
      <c r="G4" s="258"/>
      <c r="H4" s="258"/>
      <c r="I4" s="258"/>
    </row>
    <row r="5" spans="2:11" ht="25.5" customHeight="1" x14ac:dyDescent="0.25">
      <c r="B5" s="423" t="s">
        <v>256</v>
      </c>
      <c r="C5" s="423"/>
    </row>
    <row r="6" spans="2:11" ht="25.5" customHeight="1" x14ac:dyDescent="0.25">
      <c r="B6" s="259" t="s">
        <v>257</v>
      </c>
      <c r="C6" s="279">
        <v>2013</v>
      </c>
      <c r="D6" s="279">
        <v>2014</v>
      </c>
      <c r="E6" s="279">
        <v>2015</v>
      </c>
      <c r="F6" s="279">
        <v>2016</v>
      </c>
      <c r="G6" s="279">
        <v>2017</v>
      </c>
      <c r="H6" s="279">
        <v>2018</v>
      </c>
      <c r="I6" s="279">
        <v>2019</v>
      </c>
    </row>
    <row r="7" spans="2:11" s="249" customFormat="1" ht="30" customHeight="1" x14ac:dyDescent="0.25">
      <c r="B7" s="260" t="s">
        <v>272</v>
      </c>
      <c r="C7" s="261"/>
      <c r="D7" s="277">
        <f>IF(ISNA(VLOOKUP($B$4,PCards!$A$5:$AH$51,2,FALSE))=TRUE,"DEPT not Found",VLOOKUP($B$4,PCards!$A$5:$AH$51,2,FALSE))</f>
        <v>31</v>
      </c>
      <c r="E7" s="277">
        <f>IF(ISNA(VLOOKUP($B$4,PCards!$A$5:$AH$51,3,FALSE))=TRUE,"DEPT not Found",VLOOKUP($B$4,PCards!$A$5:$AH$51,3,FALSE))</f>
        <v>30</v>
      </c>
      <c r="F7" s="277">
        <f>IF(ISNA(VLOOKUP($B$4,PCards!$A$5:$AH$51,4,FALSE))=TRUE,"DEPT not Found",VLOOKUP($B$4,PCards!$A$5:$AH$51,4,FALSE))</f>
        <v>30</v>
      </c>
      <c r="G7" s="277">
        <f>IF(ISNA(VLOOKUP($B$4,PCards!$A$5:$AH$51,5,FALSE))=TRUE,"DEPT not Found",VLOOKUP($B$4,PCards!$A$5:$AH$51,5,FALSE))</f>
        <v>29</v>
      </c>
      <c r="H7" s="277">
        <f>IF(ISNA(VLOOKUP($B$4,PCards!$A$5:$AH$51,6,FALSE))=TRUE,"DEPT not Found",VLOOKUP($B$4,PCards!$A$5:$AH$51,6,FALSE))</f>
        <v>24</v>
      </c>
      <c r="I7" s="277">
        <f>IF(ISNA(VLOOKUP($B$4,PCards!$A$5:$AH$51,7,FALSE))=TRUE,"DEPT not Found",VLOOKUP($B$4,PCards!$A$5:$AH$51,7,FALSE))</f>
        <v>25</v>
      </c>
    </row>
    <row r="8" spans="2:11" s="249" customFormat="1" ht="30" customHeight="1" x14ac:dyDescent="0.25">
      <c r="B8" s="260" t="s">
        <v>273</v>
      </c>
      <c r="C8" s="261"/>
      <c r="D8" s="277">
        <f>IF(ISNA(VLOOKUP($B$4,PCards!$A$5:$AH$51,9,FALSE))=TRUE,"DEPT not Found",VLOOKUP($B$4,PCards!$A$5:$AH$51,9,FALSE))</f>
        <v>30</v>
      </c>
      <c r="E8" s="277">
        <f>IF(ISNA(VLOOKUP($B$4,PCards!$A$5:$AH$51,10,FALSE))=TRUE,"DEPT not Found",VLOOKUP($B$4,PCards!$A$5:$AH$51,10,FALSE))</f>
        <v>27</v>
      </c>
      <c r="F8" s="277">
        <f>IF(ISNA(VLOOKUP($B$4,PCards!$A$5:$AH$51,11,FALSE))=TRUE,"DEPT not Found",VLOOKUP($B$4,PCards!$A$5:$AH$51,11,FALSE))</f>
        <v>28</v>
      </c>
      <c r="G8" s="277">
        <f>IF(ISNA(VLOOKUP($B$4,PCards!$A$5:$AH$51,12,FALSE))=TRUE,"DEPT not Found",VLOOKUP($B$4,PCards!$A$5:$AH$51,12,FALSE))</f>
        <v>26</v>
      </c>
      <c r="H8" s="277">
        <f>IF(ISNA(VLOOKUP($B$4,PCards!$A$5:$AH$51,13,FALSE))=TRUE,"DEPT not Found",VLOOKUP($B$4,PCards!$A$5:$AH$51,13,FALSE))</f>
        <v>21</v>
      </c>
      <c r="I8" s="277">
        <f>IF(ISNA(VLOOKUP($B$4,PCards!$A$5:$AH$51,14,FALSE))=TRUE,"DEPT not Found",VLOOKUP($B$4,PCards!$A$5:$AH$51,14,FALSE))</f>
        <v>21</v>
      </c>
    </row>
    <row r="9" spans="2:11" s="249" customFormat="1" ht="30" customHeight="1" x14ac:dyDescent="0.25">
      <c r="B9" s="260" t="s">
        <v>274</v>
      </c>
      <c r="C9" s="261"/>
      <c r="D9" s="277">
        <f>IF(ISNA(VLOOKUP($B$4,PCards!$A$5:$AH$51,16,FALSE))=TRUE,"DEPT not Found",VLOOKUP($B$4,PCards!$A$5:$AH$51,16,FALSE))</f>
        <v>1</v>
      </c>
      <c r="E9" s="277">
        <f>IF(ISNA(VLOOKUP($B$4,PCards!$A$5:$AH$51,18,FALSE))=TRUE,"DEPT not Found",VLOOKUP($B$4,PCards!$A$5:$AH$51,18,FALSE))</f>
        <v>1</v>
      </c>
      <c r="F9" s="277">
        <f>IF(ISNA(VLOOKUP($B$4,PCards!$A$5:$AH$51,20,FALSE))=TRUE,"DEPT not Found",VLOOKUP($B$4,PCards!$A$5:$AH$51,20,FALSE))</f>
        <v>2</v>
      </c>
      <c r="G9" s="277">
        <f>IF(ISNA(VLOOKUP($B$4,PCards!$A$5:$AH$51,22,FALSE))=TRUE,"DEPT not Found",VLOOKUP($B$4,PCards!$A$5:$AH$51,22,FALSE))</f>
        <v>1</v>
      </c>
      <c r="H9" s="277">
        <f>IF(ISNA(VLOOKUP($B$4,PCards!$A$5:$AH$51,24,FALSE))=TRUE,"DEPT not Found",VLOOKUP($B$4,PCards!$A$5:$AH$51,24,FALSE))</f>
        <v>1</v>
      </c>
      <c r="I9" s="277">
        <f>IF(ISNA(VLOOKUP($B$4,PCards!$A$5:$AH$51,26,FALSE))=TRUE,"DEPT not Found",VLOOKUP($B$4,PCards!$A$5:$AH$51,26,FALSE))</f>
        <v>2</v>
      </c>
    </row>
    <row r="10" spans="2:11" s="249" customFormat="1" ht="30" customHeight="1" x14ac:dyDescent="0.25">
      <c r="B10" s="260" t="s">
        <v>275</v>
      </c>
      <c r="C10" s="261"/>
      <c r="D10" s="278">
        <f>IF(ISNA(VLOOKUP($B$4,PCards!$A$5:$AH$51,17,FALSE))=TRUE,"DEPT not Found",VLOOKUP($B$4,PCards!$A$5:$AH$51,17,FALSE))</f>
        <v>3.3333333333333333E-2</v>
      </c>
      <c r="E10" s="278">
        <f>IF(ISNA(VLOOKUP($B$4,PCards!$A$5:$AH$51,19,FALSE))=TRUE,"DEPT not Found",VLOOKUP($B$4,PCards!$A$5:$AH$51,19,FALSE))</f>
        <v>3.7037037037037035E-2</v>
      </c>
      <c r="F10" s="278">
        <f>IF(ISNA(VLOOKUP($B$4,PCards!$A$5:$AH$51,21,FALSE))=TRUE,"DEPT not Found",VLOOKUP($B$4,PCards!$A$5:$AH$51,21,FALSE))</f>
        <v>7.1428571428571425E-2</v>
      </c>
      <c r="G10" s="278">
        <f>IF(ISNA(VLOOKUP($B$4,PCards!$A$5:$AH$51,23,FALSE))=TRUE,"DEPT not Found",VLOOKUP($B$4,PCards!$A$5:$AH$51,23,FALSE))</f>
        <v>3.8461538461538464E-2</v>
      </c>
      <c r="H10" s="278">
        <f>IF(ISNA(VLOOKUP($B$4,PCards!$A$5:$AH$51,25,FALSE))=TRUE,"DEPT not Found",VLOOKUP($B$4,PCards!$A$5:$AH$51,25,FALSE))</f>
        <v>4.7619047619047616E-2</v>
      </c>
      <c r="I10" s="278">
        <f>IF(ISNA(VLOOKUP($B$4,PCards!$A$5:$AH$51,27,FALSE))=TRUE,"DEPT not Found",VLOOKUP($B$4,PCards!$A$5:$AH$51,27,FALSE))</f>
        <v>9.5238095238095233E-2</v>
      </c>
    </row>
    <row r="11" spans="2:11" s="249" customFormat="1" ht="30" customHeight="1" x14ac:dyDescent="0.25">
      <c r="B11" s="260" t="s">
        <v>276</v>
      </c>
      <c r="C11" s="261"/>
      <c r="D11" s="277">
        <f>IF(ISNA(VLOOKUP($B$4,PCards!$A$5:$AN$51,29,FALSE))=TRUE,"DEPT not Found",VLOOKUP($B$4,PCards!$A$5:$AN$51,29,FALSE))</f>
        <v>2</v>
      </c>
      <c r="E11" s="277">
        <f>IF(ISNA(VLOOKUP($B$4,PCards!$A$5:$AN$51,31,FALSE))=TRUE,"DEPT not Found",VLOOKUP($B$4,PCards!$A$5:$AN$51,31,FALSE))</f>
        <v>1</v>
      </c>
      <c r="F11" s="277">
        <f>IF(ISNA(VLOOKUP($B$4,PCards!$A$5:$AN$51,33,FALSE))=TRUE,"DEPT not Found",VLOOKUP($B$4,PCards!$A$5:$AN$51,33,FALSE))</f>
        <v>1</v>
      </c>
      <c r="G11" s="277">
        <f>IF(ISNA(VLOOKUP($B$4,PCards!$A$5:$AN$51,35,FALSE))=TRUE,"DEPT not Found",VLOOKUP($B$4,PCards!$A$5:$AN$51,35,FALSE))</f>
        <v>0</v>
      </c>
      <c r="H11" s="277">
        <f>IF(ISNA(VLOOKUP($B$4,PCards!$A$5:$AN$51,37,FALSE))=TRUE,"DEPT not Found",VLOOKUP($B$4,PCards!$A$5:$AN$51,37,FALSE))</f>
        <v>0</v>
      </c>
      <c r="I11" s="277">
        <f>IF(ISNA(VLOOKUP($B$4,PCards!$A$5:$AN$51,39,FALSE))=TRUE,"DEPT not Found",VLOOKUP($B$4,PCards!$A$5:$AN$51,39,FALSE))</f>
        <v>0</v>
      </c>
    </row>
    <row r="12" spans="2:11" s="249" customFormat="1" ht="30" customHeight="1" x14ac:dyDescent="0.25">
      <c r="B12" s="260" t="s">
        <v>277</v>
      </c>
      <c r="C12" s="261"/>
      <c r="D12" s="278">
        <f>IF(ISNA(VLOOKUP($B$4,PCards!$A$5:$AN$51,30,FALSE))=TRUE,"DEPT not Found",VLOOKUP($B$4,PCards!$A$5:$AN$51,30,FALSE))</f>
        <v>6.6666666666666666E-2</v>
      </c>
      <c r="E12" s="278">
        <f>IF(ISNA(VLOOKUP($B$4,PCards!$A$5:$AN$51,32,FALSE))=TRUE,"DEPT not Found",VLOOKUP($B$4,PCards!$A$5:$AN$51,32,FALSE))</f>
        <v>3.7037037037037035E-2</v>
      </c>
      <c r="F12" s="278">
        <f>IF(ISNA(VLOOKUP($B$4,PCards!$A$5:$AN$51,34,FALSE))=TRUE,"DEPT not Found",VLOOKUP($B$4,PCards!$A$5:$AN$51,34,FALSE))</f>
        <v>3.5714285714285712E-2</v>
      </c>
      <c r="G12" s="278">
        <f>IF(ISNA(VLOOKUP($B$4,PCards!$A$5:$AN$51,36,FALSE))=TRUE,"DEPT not Found",VLOOKUP($B$4,PCards!$A$5:$AN$51,36,FALSE))</f>
        <v>0</v>
      </c>
      <c r="H12" s="278">
        <f>IF(ISNA(VLOOKUP($B$4,PCards!$A$5:$AN$51,38,FALSE))=TRUE,"DEPT not Found",VLOOKUP($B$4,PCards!$A$5:$AN$51,38,FALSE))</f>
        <v>0</v>
      </c>
      <c r="I12" s="278">
        <f>IF(ISNA(VLOOKUP($B$4,PCards!$A$5:$AN$51,40,FALSE))=TRUE,"DEPT not Found",VLOOKUP($B$4,PCards!$A$5:$AN$51,40,FALSE))</f>
        <v>0</v>
      </c>
    </row>
    <row r="13" spans="2:11" s="249" customFormat="1" ht="30" customHeight="1" x14ac:dyDescent="0.25">
      <c r="B13" s="260" t="s">
        <v>284</v>
      </c>
      <c r="C13" s="261"/>
      <c r="D13" s="281">
        <f>IF(ISNA(VLOOKUP($B$4,'Retro Pay'!$A$5:$AG$53,2,FALSE))=TRUE,"DEPT not Found",VLOOKUP($B$4,'Retro Pay'!$A$5:$AG$53,2,FALSE))/1000</f>
        <v>12217.534</v>
      </c>
      <c r="E13" s="281">
        <f>IF(ISNA(VLOOKUP($B$4,'Retro Pay'!$A$5:$AG$53,3,FALSE))=TRUE,"DEPT not Found",VLOOKUP($B$4,'Retro Pay'!$A$5:$AG$53,3,FALSE))/1000</f>
        <v>11798.02534</v>
      </c>
      <c r="F13" s="281">
        <f>IF(ISNA(VLOOKUP($B$4,'Retro Pay'!$A$5:$AG$53,4,FALSE))=TRUE,"DEPT not Found",VLOOKUP($B$4,'Retro Pay'!$A$5:$AG$53,4,FALSE))/1000</f>
        <v>11631.73307</v>
      </c>
      <c r="G13" s="281">
        <f>IF(ISNA(VLOOKUP($B$4,'Retro Pay'!$A$5:$AG$53,5,FALSE))=TRUE,"DEPT not Found",VLOOKUP($B$4,'Retro Pay'!$A$5:$AG$53,5,FALSE))/1000</f>
        <v>13161.719429999999</v>
      </c>
      <c r="H13" s="281">
        <f>IF(ISNA(VLOOKUP($B$4,'Retro Pay'!$A$5:$AG$53,6,FALSE))=TRUE,"DEPT not Found",VLOOKUP($B$4,'Retro Pay'!$A$5:$AG$53,6,FALSE))/1000</f>
        <v>13046.20874</v>
      </c>
      <c r="I13" s="281">
        <f>IF(ISNA(VLOOKUP($B$4,'Retro Pay'!$A$5:$AG$53,7,FALSE))=TRUE,"DEPT not Found",VLOOKUP($B$4,'Retro Pay'!$A$5:$AG$53,7,FALSE))/1000</f>
        <v>13352.26607</v>
      </c>
    </row>
    <row r="14" spans="2:11" s="249" customFormat="1" ht="30" customHeight="1" x14ac:dyDescent="0.25">
      <c r="B14" s="260" t="s">
        <v>286</v>
      </c>
      <c r="C14" s="261"/>
      <c r="D14" s="281">
        <f>IF(ISNA(VLOOKUP($B$4,'Retro Pay'!$A$5:$AG$53,9,FALSE))=TRUE,"DEPT not Found",VLOOKUP($B$4,'Retro Pay'!$A$5:$AG$53,9,FALSE))/1000</f>
        <v>1496.499</v>
      </c>
      <c r="E14" s="281">
        <f>IF(ISNA(VLOOKUP($B$4,'Retro Pay'!$A$5:$AG$53,11,FALSE))=TRUE,"DEPT not Found",VLOOKUP($B$4,'Retro Pay'!$A$5:$AG$53,11,FALSE))/1000</f>
        <v>1967.9167199999999</v>
      </c>
      <c r="F14" s="281">
        <f>IF(ISNA(VLOOKUP($B$4,'Retro Pay'!$A$5:$AG$53,13,FALSE))=TRUE,"DEPT not Found",VLOOKUP($B$4,'Retro Pay'!$A$5:$AG$53,13,FALSE))/1000</f>
        <v>1182.6903300000001</v>
      </c>
      <c r="G14" s="281">
        <f>IF(ISNA(VLOOKUP($B$4,'Retro Pay'!$A$5:$AG$53,15,FALSE))=TRUE,"DEPT not Found",VLOOKUP($B$4,'Retro Pay'!$A$5:$AG$53,15,FALSE))/1000</f>
        <v>1588.52007</v>
      </c>
      <c r="H14" s="281">
        <f>IF(ISNA(VLOOKUP($B$4,'Retro Pay'!$A$5:$AG$53,17,FALSE))=TRUE,"DEPT not Found",VLOOKUP($B$4,'Retro Pay'!$A$5:$AG$53,17,FALSE))/1000</f>
        <v>1980.36726</v>
      </c>
      <c r="I14" s="281">
        <f>IF(ISNA(VLOOKUP($B$4,'Retro Pay'!$A$5:$AG$53,19,FALSE))=TRUE,"DEPT not Found",VLOOKUP($B$4,'Retro Pay'!$A$5:$AG$53,19,FALSE))/1000</f>
        <v>1587.9008400000014</v>
      </c>
    </row>
    <row r="15" spans="2:11" s="249" customFormat="1" ht="30" customHeight="1" x14ac:dyDescent="0.25">
      <c r="B15" s="260" t="s">
        <v>329</v>
      </c>
      <c r="C15" s="261"/>
      <c r="D15" s="281">
        <f>IF(ISNA(VLOOKUP($B$4,'Retro Pay'!$A$5:$AG$53,22,FALSE))=TRUE,"DEPT not Found",VLOOKUP($B$4,'Retro Pay'!$A$5:$AG$53,22,FALSE))/1000</f>
        <v>387.60300000000001</v>
      </c>
      <c r="E15" s="281">
        <f>IF(ISNA(VLOOKUP($B$4,'Retro Pay'!$A$5:$AG$53,24,FALSE))=TRUE,"DEPT not Found",VLOOKUP($B$4,'Retro Pay'!$A$5:$AG$53,24,FALSE))/1000</f>
        <v>757.14023000000009</v>
      </c>
      <c r="F15" s="281">
        <f>IF(ISNA(VLOOKUP($B$4,'Retro Pay'!$A$5:$AG$53,26,FALSE))=TRUE,"DEPT not Found",VLOOKUP($B$4,'Retro Pay'!$A$5:$AG$53,26,FALSE))/1000</f>
        <v>245.00779999999997</v>
      </c>
      <c r="G15" s="281">
        <f>IF(ISNA(VLOOKUP($B$4,'Retro Pay'!$A$5:$AG$53,28,FALSE))=TRUE,"DEPT not Found",VLOOKUP($B$4,'Retro Pay'!$A$5:$AG$53,28,FALSE))/1000</f>
        <v>287.05917999999997</v>
      </c>
      <c r="H15" s="281">
        <f>IF(ISNA(VLOOKUP($B$4,'Retro Pay'!$A$5:$AG$53,30,FALSE))=TRUE,"DEPT not Found",VLOOKUP($B$4,'Retro Pay'!$A$5:$AG$53,30,FALSE))/1000</f>
        <v>450.14229999999998</v>
      </c>
      <c r="I15" s="281">
        <f>IF(ISNA(VLOOKUP($B$4,'Retro Pay'!$A$5:$AG$53,32,FALSE))=TRUE,"DEPT not Found",VLOOKUP($B$4,'Retro Pay'!$A$5:$AG$53,32,FALSE))/1000</f>
        <v>363.77817000000005</v>
      </c>
    </row>
    <row r="16" spans="2:11" s="249" customFormat="1" ht="30" customHeight="1" x14ac:dyDescent="0.25">
      <c r="B16" s="260" t="s">
        <v>285</v>
      </c>
      <c r="C16" s="261"/>
      <c r="D16" s="278">
        <f>IF(ISNA(VLOOKUP($B$4,'Retro Pay'!$A$5:$AG$53,10,FALSE))=TRUE,"DEPT not Found",VLOOKUP($B$4,'Retro Pay'!$A$5:$AG$53,10,FALSE))</f>
        <v>0.12248781137011773</v>
      </c>
      <c r="E16" s="278">
        <f>IF(ISNA(VLOOKUP($B$4,'Retro Pay'!$A$5:$AG$53,12,FALSE))=TRUE,"DEPT not Found",VLOOKUP($B$4,'Retro Pay'!$A$5:$AG$53,12,FALSE))</f>
        <v>0.16680051646676664</v>
      </c>
      <c r="F16" s="278">
        <f>IF(ISNA(VLOOKUP($B$4,'Retro Pay'!$A$5:$AG$53,14,FALSE))=TRUE,"DEPT not Found",VLOOKUP($B$4,'Retro Pay'!$A$5:$AG$53,14,FALSE))</f>
        <v>0.10167791187113272</v>
      </c>
      <c r="G16" s="278">
        <f>IF(ISNA(VLOOKUP($B$4,'Retro Pay'!$A$5:$AG$53,16,FALSE))=TRUE,"DEPT not Found",VLOOKUP($B$4,'Retro Pay'!$A$5:$AG$53,16,FALSE))</f>
        <v>0.12069244284141377</v>
      </c>
      <c r="H16" s="278">
        <f>IF(ISNA(VLOOKUP($B$4,'Retro Pay'!$A$5:$AG$53,18,FALSE))=TRUE,"DEPT not Found",VLOOKUP($B$4,'Retro Pay'!$A$5:$AG$53,18,FALSE))</f>
        <v>0.15179638004167026</v>
      </c>
      <c r="I16" s="278">
        <f>IF(ISNA(VLOOKUP($B$4,'Retro Pay'!$A$5:$AG$53,20,FALSE))=TRUE,"DEPT not Found",VLOOKUP($B$4,'Retro Pay'!$A$5:$AG$53,20,FALSE))</f>
        <v>0.1189236966725605</v>
      </c>
    </row>
    <row r="17" spans="2:11" s="249" customFormat="1" ht="30" customHeight="1" x14ac:dyDescent="0.25">
      <c r="B17" s="260" t="s">
        <v>287</v>
      </c>
      <c r="C17" s="261"/>
      <c r="D17" s="278">
        <f>IF(ISNA(VLOOKUP($B$4,'Retro Pay'!$A$5:$AG$53,23,FALSE))=TRUE,"DEPT not Found",VLOOKUP($B$4,'Retro Pay'!$A$5:$AG$53,23,FALSE))</f>
        <v>3.1725141914890516E-2</v>
      </c>
      <c r="E17" s="278">
        <f>IF(ISNA(VLOOKUP($B$4,'Retro Pay'!$A$5:$AG$53,25,FALSE))=TRUE,"DEPT not Found",VLOOKUP($B$4,'Retro Pay'!$A$5:$AG$53,25,FALSE))</f>
        <v>6.4175165604450218E-2</v>
      </c>
      <c r="F17" s="278">
        <f>IF(ISNA(VLOOKUP($B$4,'Retro Pay'!$A$5:$AG$53,27,FALSE))=TRUE,"DEPT not Found",VLOOKUP($B$4,'Retro Pay'!$A$5:$AG$53,27,FALSE))</f>
        <v>2.1063739902346296E-2</v>
      </c>
      <c r="G17" s="278">
        <f>IF(ISNA(VLOOKUP($B$4,'Retro Pay'!$A$5:$AG$53,29,FALSE))=TRUE,"DEPT not Found",VLOOKUP($B$4,'Retro Pay'!$A$5:$AG$53,29,FALSE))</f>
        <v>2.4331120821274657E-2</v>
      </c>
      <c r="H17" s="278">
        <f>IF(ISNA(VLOOKUP($B$4,'Retro Pay'!$A$5:$AG$53,31,FALSE))=TRUE,"DEPT not Found",VLOOKUP($B$4,'Retro Pay'!$A$5:$AG$53,31,FALSE))</f>
        <v>3.4503686777588687E-2</v>
      </c>
      <c r="I17" s="278">
        <f>IF(ISNA(VLOOKUP($B$4,'Retro Pay'!$A$5:$AG$53,33,FALSE))=TRUE,"DEPT not Found",VLOOKUP($B$4,'Retro Pay'!$A$5:$AG$53,33,FALSE))</f>
        <v>2.7244676528528765E-2</v>
      </c>
    </row>
    <row r="18" spans="2:11" s="249" customFormat="1" ht="30" customHeight="1" x14ac:dyDescent="0.25">
      <c r="B18" s="260" t="s">
        <v>284</v>
      </c>
      <c r="C18" s="261"/>
      <c r="D18" s="281"/>
      <c r="E18" s="281">
        <f>IF(ISNA(VLOOKUP($B$4,'SP Retro Pay'!$A$5:$AB$53,2,FALSE))=TRUE,"DEPT not Found",VLOOKUP($B$4,'SP Retro Pay'!$A$5:$AB$53,2,FALSE))/1000</f>
        <v>6137.7659999999996</v>
      </c>
      <c r="F18" s="281">
        <f>IF(ISNA(VLOOKUP($B$4,'SP Retro Pay'!$A$5:$AB$53,3,FALSE))=TRUE,"DEPT not Found",VLOOKUP($B$4,'SP Retro Pay'!$A$5:$AB$53,3,FALSE))/1000</f>
        <v>5750.8609999999999</v>
      </c>
      <c r="G18" s="281">
        <f>IF(ISNA(VLOOKUP($B$4,'SP Retro Pay'!$A$5:$AB$53,4,FALSE))=TRUE,"DEPT not Found",VLOOKUP($B$4,'SP Retro Pay'!$A$5:$AB$53,4,FALSE))/1000</f>
        <v>6135.5183699999734</v>
      </c>
      <c r="H18" s="281">
        <f>IF(ISNA(VLOOKUP($B$4,'SP Retro Pay'!$A$5:$AB$53,5,FALSE))=TRUE,"DEPT not Found",VLOOKUP($B$4,'SP Retro Pay'!$A$5:$AB$53,5,FALSE))/1000</f>
        <v>5708.0775299999932</v>
      </c>
      <c r="I18" s="281">
        <f>IF(ISNA(VLOOKUP($B$4,'SP Retro Pay'!$A$5:$AB$53,6,FALSE))=TRUE,"DEPT not Found",VLOOKUP($B$4,'SP Retro Pay'!$A$5:$AB$53,6,FALSE))/1000</f>
        <v>5263.1038199999894</v>
      </c>
      <c r="K18" s="283" t="s">
        <v>288</v>
      </c>
    </row>
    <row r="19" spans="2:11" s="249" customFormat="1" ht="30" customHeight="1" x14ac:dyDescent="0.25">
      <c r="B19" s="260" t="s">
        <v>286</v>
      </c>
      <c r="C19" s="261"/>
      <c r="D19" s="281"/>
      <c r="E19" s="281">
        <f>IF(ISNA(VLOOKUP($B$4,'SP Retro Pay'!$A$5:$AB$53,8,FALSE))=TRUE,"DEPT not Found",VLOOKUP($B$4,'SP Retro Pay'!$A$5:$AB$53,8,FALSE))/1000</f>
        <v>527.83454000000006</v>
      </c>
      <c r="F19" s="281">
        <f>IF(ISNA(VLOOKUP($B$4,'SP Retro Pay'!$A$5:$AB$53,10,FALSE))=TRUE,"DEPT not Found",VLOOKUP($B$4,'SP Retro Pay'!$A$5:$AB$53,10,FALSE))/1000</f>
        <v>424.78914000000003</v>
      </c>
      <c r="G19" s="281">
        <f>IF(ISNA(VLOOKUP($B$4,'SP Retro Pay'!$A$5:$AB$53,12,FALSE))=TRUE,"DEPT not Found",VLOOKUP($B$4,'SP Retro Pay'!$A$5:$AB$53,12,FALSE))/1000</f>
        <v>758.32914000000028</v>
      </c>
      <c r="H19" s="281">
        <f>IF(ISNA(VLOOKUP($B$4,'SP Retro Pay'!$A$5:$AB$53,14,FALSE))=TRUE,"DEPT not Found",VLOOKUP($B$4,'SP Retro Pay'!$A$5:$AB$53,14,FALSE))/1000</f>
        <v>645.94058000000018</v>
      </c>
      <c r="I19" s="281">
        <f>IF(ISNA(VLOOKUP($B$4,'SP Retro Pay'!$A$5:$AB$53,16,FALSE))=TRUE,"DEPT not Found",VLOOKUP($B$4,'SP Retro Pay'!$A$5:$AB$53,16,FALSE))/1000</f>
        <v>674.19994999999983</v>
      </c>
      <c r="K19" s="283" t="s">
        <v>288</v>
      </c>
    </row>
    <row r="20" spans="2:11" s="249" customFormat="1" ht="30" customHeight="1" x14ac:dyDescent="0.25">
      <c r="B20" s="260" t="s">
        <v>289</v>
      </c>
      <c r="C20" s="261"/>
      <c r="D20" s="281"/>
      <c r="E20" s="281">
        <f>IF(ISNA(VLOOKUP($B$4,'SP Retro Pay'!$A$5:$AB$53,19,FALSE))=TRUE,"DEPT not Found",VLOOKUP($B$4,'SP Retro Pay'!$A$5:$AB$53,19,FALSE))/1000</f>
        <v>12.000849999999998</v>
      </c>
      <c r="F20" s="281">
        <f>IF(ISNA(VLOOKUP($B$4,'SP Retro Pay'!$A$5:$AB$53,21,FALSE))=TRUE,"DEPT not Found",VLOOKUP($B$4,'SP Retro Pay'!$A$5:$AB$53,21,FALSE))/1000</f>
        <v>17.659790000000001</v>
      </c>
      <c r="G20" s="281">
        <f>IF(ISNA(VLOOKUP($B$4,'SP Retro Pay'!$A$5:$AB$53,23,FALSE))=TRUE,"DEPT not Found",VLOOKUP($B$4,'SP Retro Pay'!$A$5:$AB$53,23,FALSE))/1000</f>
        <v>40.518339999999995</v>
      </c>
      <c r="H20" s="281">
        <f>IF(ISNA(VLOOKUP($B$4,'SP Retro Pay'!$A$5:$AB$53,25,FALSE))=TRUE,"DEPT not Found",VLOOKUP($B$4,'SP Retro Pay'!$A$5:$AB$53,25,FALSE))/1000</f>
        <v>97.517179999999996</v>
      </c>
      <c r="I20" s="281">
        <f>IF(ISNA(VLOOKUP($B$4,'SP Retro Pay'!$A$5:$AB$53,27,FALSE))=TRUE,"DEPT not Found",VLOOKUP($B$4,'SP Retro Pay'!$A$5:$AB$53,27,FALSE))/1000</f>
        <v>70.930460000000011</v>
      </c>
      <c r="K20" s="283" t="s">
        <v>288</v>
      </c>
    </row>
    <row r="21" spans="2:11" s="249" customFormat="1" ht="30" customHeight="1" x14ac:dyDescent="0.25">
      <c r="B21" s="260" t="s">
        <v>285</v>
      </c>
      <c r="C21" s="261"/>
      <c r="D21" s="278"/>
      <c r="E21" s="278">
        <f>IF(ISNA(VLOOKUP($B$4,'SP Retro Pay'!$A$5:$AB$53,9,FALSE))=TRUE,"DEPT not Found",VLOOKUP($B$4,'SP Retro Pay'!$A$5:$AB$53,9,FALSE))</f>
        <v>8.5997827222478021E-2</v>
      </c>
      <c r="F21" s="278">
        <f>IF(ISNA(VLOOKUP($B$4,'SP Retro Pay'!$A$5:$AB$53,11,FALSE))=TRUE,"DEPT not Found",VLOOKUP($B$4,'SP Retro Pay'!$A$5:$AB$53,11,FALSE))</f>
        <v>7.3865311646377829E-2</v>
      </c>
      <c r="G21" s="278">
        <f>IF(ISNA(VLOOKUP($B$4,'SP Retro Pay'!$A$5:$AB$53,13,FALSE))=TRUE,"DEPT not Found",VLOOKUP($B$4,'SP Retro Pay'!$A$5:$AB$53,13,FALSE))</f>
        <v>0.12359658862858292</v>
      </c>
      <c r="H21" s="278">
        <f>IF(ISNA(VLOOKUP($B$4,'SP Retro Pay'!$A$5:$AB$53,15,FALSE))=TRUE,"DEPT not Found",VLOOKUP($B$4,'SP Retro Pay'!$A$5:$AB$53,15,FALSE))</f>
        <v>0.11316254493831324</v>
      </c>
      <c r="I21" s="278">
        <f>IF(ISNA(VLOOKUP($B$4,'SP Retro Pay'!$A$5:$AB$53,17,FALSE))=TRUE,"DEPT not Found",VLOOKUP($B$4,'SP Retro Pay'!$A$5:$AB$53,17,FALSE))</f>
        <v>0.12809930661789629</v>
      </c>
      <c r="K21" s="283" t="s">
        <v>288</v>
      </c>
    </row>
    <row r="22" spans="2:11" ht="30" customHeight="1" x14ac:dyDescent="0.25">
      <c r="B22" s="260" t="s">
        <v>290</v>
      </c>
      <c r="C22" s="261"/>
      <c r="D22" s="278"/>
      <c r="E22" s="278">
        <f>IF(ISNA(VLOOKUP($B$4,'SP Retro Pay'!$A$5:$AB$53,20,FALSE))=TRUE,"DEPT not Found",VLOOKUP($B$4,'SP Retro Pay'!$A$5:$AB$53,20,FALSE))</f>
        <v>1.9552472349059899E-3</v>
      </c>
      <c r="F22" s="278">
        <f>IF(ISNA(VLOOKUP($B$4,'SP Retro Pay'!$A$5:$AB$53,22,FALSE))=TRUE,"DEPT not Found",VLOOKUP($B$4,'SP Retro Pay'!$A$5:$AB$53,22,FALSE))</f>
        <v>3.0708080059664109E-3</v>
      </c>
      <c r="G22" s="278">
        <f>IF(ISNA(VLOOKUP($B$4,'SP Retro Pay'!$A$5:$AB$53,24,FALSE))=TRUE,"DEPT not Found",VLOOKUP($B$4,'SP Retro Pay'!$A$5:$AB$53,24,FALSE))</f>
        <v>6.6038984086686341E-3</v>
      </c>
      <c r="H22" s="278">
        <f>IF(ISNA(VLOOKUP($B$4,'SP Retro Pay'!$A$5:$AB$53,26,FALSE))=TRUE,"DEPT not Found",VLOOKUP($B$4,'SP Retro Pay'!$A$5:$AB$53,26,FALSE))</f>
        <v>1.708406718154722E-2</v>
      </c>
      <c r="I22" s="278">
        <f>IF(ISNA(VLOOKUP($B$4,'SP Retro Pay'!$A$5:$AB$53,28,FALSE))=TRUE,"DEPT not Found",VLOOKUP($B$4,'SP Retro Pay'!$A$5:$AB$53,28,FALSE))</f>
        <v>1.3476925864631747E-2</v>
      </c>
      <c r="K22" s="283" t="s">
        <v>288</v>
      </c>
    </row>
    <row r="23" spans="2:11" s="249" customFormat="1" ht="30" customHeight="1" x14ac:dyDescent="0.25">
      <c r="B23" s="260" t="s">
        <v>291</v>
      </c>
      <c r="C23" s="261"/>
      <c r="D23" s="277"/>
      <c r="E23" s="277">
        <f>IF(ISNA(VLOOKUP($B$4,'Effort Cert'!$A$5:$P$53,2,FALSE))=TRUE,"Dept not Found",VLOOKUP($B$4,'Effort Cert'!$A$5:$P$53,2,FALSE))</f>
        <v>109</v>
      </c>
      <c r="F23" s="277">
        <f>IF(ISNA(VLOOKUP($B$4,'Effort Cert'!$A$5:$P$53,5,FALSE))=TRUE,"Dept not Found",VLOOKUP($B$4,'Effort Cert'!$A$5:$P$53,5,FALSE))</f>
        <v>104</v>
      </c>
      <c r="G23" s="277">
        <f>IF(ISNA(VLOOKUP($B$4,'Effort Cert'!$A$5:$P$53,8,FALSE))=TRUE,"Dept not Found",VLOOKUP($B$4,'Effort Cert'!$A$5:$P$53,8,FALSE))</f>
        <v>117</v>
      </c>
      <c r="H23" s="277">
        <f>IF(ISNA(VLOOKUP($B$4,'Effort Cert'!$A$5:$P$53,11,FALSE))=TRUE,"Dept not Found",VLOOKUP($B$4,'Effort Cert'!$A$5:$P$53,11,FALSE))</f>
        <v>124</v>
      </c>
      <c r="I23" s="277">
        <f>IF(ISNA(VLOOKUP($B$4,'Effort Cert'!$A$5:$P$53,14,FALSE))=TRUE,"Dept not Found",VLOOKUP($B$4,'Effort Cert'!$A$5:$P$53,14,FALSE))</f>
        <v>101</v>
      </c>
    </row>
    <row r="24" spans="2:11" ht="30" customHeight="1" x14ac:dyDescent="0.25">
      <c r="B24" s="260" t="s">
        <v>292</v>
      </c>
      <c r="C24" s="261"/>
      <c r="D24" s="277"/>
      <c r="E24" s="277">
        <f>IF(ISNA(VLOOKUP($B$4,'Effort Cert'!$A$5:$P$53,3,FALSE))=TRUE,"Dept not Found",VLOOKUP($B$4,'Effort Cert'!$A$5:$P$53,3,FALSE))</f>
        <v>106</v>
      </c>
      <c r="F24" s="277">
        <f>IF(ISNA(VLOOKUP($B$4,'Effort Cert'!$A$5:$P$53,6,FALSE))=TRUE,"Dept not Found",VLOOKUP($B$4,'Effort Cert'!$A$5:$P$53,6,FALSE))</f>
        <v>98</v>
      </c>
      <c r="G24" s="277">
        <f>IF(ISNA(VLOOKUP($B$4,'Effort Cert'!$A$5:$P$53,9,FALSE))=TRUE,"Dept not Found",VLOOKUP($B$4,'Effort Cert'!$A$5:$P$53,9,FALSE))</f>
        <v>102</v>
      </c>
      <c r="H24" s="277">
        <f>IF(ISNA(VLOOKUP($B$4,'Effort Cert'!$A$5:$P$53,12,FALSE))=TRUE,"Dept not Found",VLOOKUP($B$4,'Effort Cert'!$A$5:$P$53,12,FALSE))</f>
        <v>123</v>
      </c>
      <c r="I24" s="277">
        <f>IF(ISNA(VLOOKUP($B$4,'Effort Cert'!$A$5:$P$53,15,FALSE))=TRUE,"Dept not Found",VLOOKUP($B$4,'Effort Cert'!$A$5:$P$53,15,FALSE))</f>
        <v>99</v>
      </c>
    </row>
    <row r="25" spans="2:11" ht="30" customHeight="1" x14ac:dyDescent="0.25">
      <c r="B25" s="260" t="s">
        <v>293</v>
      </c>
      <c r="C25" s="261"/>
      <c r="D25" s="277"/>
      <c r="E25" s="278">
        <f>IF(ISNA(VLOOKUP($B$4,'Effort Cert'!$A$5:$P$53,4,FALSE))=TRUE,"Dept not Found",VLOOKUP($B$4,'Effort Cert'!$A$5:$P$53,4,FALSE))</f>
        <v>0.97247706422018354</v>
      </c>
      <c r="F25" s="278">
        <f>IF(ISNA(VLOOKUP($B$4,'Effort Cert'!$A$5:$P$53,7,FALSE))=TRUE,"Dept not Found",VLOOKUP($B$4,'Effort Cert'!$A$5:$P$53,7,FALSE))</f>
        <v>0.94230769230769229</v>
      </c>
      <c r="G25" s="278">
        <f>IF(ISNA(VLOOKUP($B$4,'Effort Cert'!$A$5:$P$53,10,FALSE))=TRUE,"Dept not Found",VLOOKUP($B$4,'Effort Cert'!$A$5:$P$53,10,FALSE))</f>
        <v>0.87179487179487181</v>
      </c>
      <c r="H25" s="278">
        <f>IF(ISNA(VLOOKUP($B$4,'Effort Cert'!$A$5:$P$53,13,FALSE))=TRUE,"Dept not Found",VLOOKUP($B$4,'Effort Cert'!$A$5:$P$53,13,FALSE))</f>
        <v>0.99193548387096775</v>
      </c>
      <c r="I25" s="278">
        <f>IF(ISNA(VLOOKUP($B$4,'Effort Cert'!$A$5:$P$53,16,FALSE))=TRUE,"Dept not Found",VLOOKUP($B$4,'Effort Cert'!$A$5:$P$53,16,FALSE))</f>
        <v>0.98019801980198018</v>
      </c>
    </row>
    <row r="26" spans="2:11" ht="30" customHeight="1" x14ac:dyDescent="0.25">
      <c r="B26" s="260" t="s">
        <v>295</v>
      </c>
      <c r="C26" s="261"/>
      <c r="D26" s="277">
        <f>IF(ISNA(VLOOKUP($B$4,'Cash Handling'!$A$5:$AF$53,2,FALSE))=TRUE,"Dept not Found",VLOOKUP($B$4,'Cash Handling'!$A$5:$AF$53,2,FALSE))</f>
        <v>1</v>
      </c>
      <c r="E26" s="277">
        <f>IF(ISNA(VLOOKUP($B$4,'Cash Handling'!$A$5:$AF$53,5,FALSE))=TRUE,"Dept not Found",VLOOKUP($B$4,'Cash Handling'!$A$5:$AF$53,5,FALSE))</f>
        <v>1</v>
      </c>
      <c r="F26" s="277">
        <f>IF(ISNA(VLOOKUP($B$4,'Cash Handling'!$A$5:$AF$53,8,FALSE))=TRUE,"Dept not Found",VLOOKUP($B$4,'Cash Handling'!$A$5:$AF$53,8,FALSE))</f>
        <v>1</v>
      </c>
      <c r="G26" s="277">
        <f>IF(ISNA(VLOOKUP($B$4,'Cash Handling'!$A$5:$AF$53,11,FALSE))=TRUE,"Dept not Found",VLOOKUP($B$4,'Cash Handling'!$A$5:$AF$53,11,FALSE))</f>
        <v>2</v>
      </c>
      <c r="H26" s="277">
        <f>IF(ISNA(VLOOKUP($B$4,'Cash Handling'!$A$5:$AF$53,14,FALSE))=TRUE,"Dept not Found",VLOOKUP($B$4,'Cash Handling'!$A$5:$AF$53,14,FALSE))</f>
        <v>1</v>
      </c>
      <c r="I26" s="277">
        <f>IF(ISNA(VLOOKUP($B$4,'Cash Handling'!$A$5:$AF$53,17,FALSE))=TRUE,"Dept not Found",VLOOKUP($B$4,'Cash Handling'!$A$5:$AF$53,17,FALSE))</f>
        <v>1</v>
      </c>
      <c r="K26" s="283" t="s">
        <v>358</v>
      </c>
    </row>
    <row r="27" spans="2:11" ht="30" customHeight="1" x14ac:dyDescent="0.25">
      <c r="B27" s="260" t="s">
        <v>296</v>
      </c>
      <c r="C27" s="261"/>
      <c r="D27" s="277">
        <f>IF(ISNA(VLOOKUP($B$4,'Cash Handling'!$A$5:$AF$53,3,FALSE))=TRUE,"Dept not Found",VLOOKUP($B$4,'Cash Handling'!$A$5:$AF$53,3,FALSE))</f>
        <v>40</v>
      </c>
      <c r="E27" s="277">
        <f>IF(ISNA(VLOOKUP($B$4,'Cash Handling'!$A$5:$AF$53,6,FALSE))=TRUE,"Dept not Found",VLOOKUP($B$4,'Cash Handling'!$A$5:$AF$53,6,FALSE))</f>
        <v>36</v>
      </c>
      <c r="F27" s="277">
        <f>IF(ISNA(VLOOKUP($B$4,'Cash Handling'!$A$5:$AF$53,9,FALSE))=TRUE,"Dept not Found",VLOOKUP($B$4,'Cash Handling'!$A$5:$AF$53,9,FALSE))</f>
        <v>43</v>
      </c>
      <c r="G27" s="277">
        <f>IF(ISNA(VLOOKUP($B$4,'Cash Handling'!$A$5:$AF$53,12,FALSE))=TRUE,"Dept not Found",VLOOKUP($B$4,'Cash Handling'!$A$5:$AF$53,12,FALSE))</f>
        <v>49</v>
      </c>
      <c r="H27" s="277">
        <f>IF(ISNA(VLOOKUP($B$4,'Cash Handling'!$A$5:$AF$53,15,FALSE))=TRUE,"Dept not Found",VLOOKUP($B$4,'Cash Handling'!$A$5:$AF$53,15,FALSE))</f>
        <v>40</v>
      </c>
      <c r="I27" s="277">
        <f>IF(ISNA(VLOOKUP($B$4,'Cash Handling'!$A$5:$AF$53,18,FALSE))=TRUE,"Dept not Found",VLOOKUP($B$4,'Cash Handling'!$A$5:$AF$53,18,FALSE))</f>
        <v>32</v>
      </c>
      <c r="K27" s="283" t="s">
        <v>358</v>
      </c>
    </row>
    <row r="28" spans="2:11" ht="30" customHeight="1" x14ac:dyDescent="0.25">
      <c r="B28" s="260" t="s">
        <v>357</v>
      </c>
      <c r="C28" s="261"/>
      <c r="D28" s="281">
        <f>IF(ISNA(VLOOKUP($B$4,'Cash Handling'!$A$5:$AF$53,4,FALSE))=TRUE,"Dept not Found",VLOOKUP($B$4,'Cash Handling'!$A$5:$AF$53,4,FALSE))/1000</f>
        <v>105.11275999999999</v>
      </c>
      <c r="E28" s="281">
        <f>IF(ISNA(VLOOKUP($B$4,'Cash Handling'!$A$5:$AF$53,7,FALSE))=TRUE,"Dept not Found",VLOOKUP($B$4,'Cash Handling'!$A$5:$AF$53,7,FALSE))/1000</f>
        <v>119.96589</v>
      </c>
      <c r="F28" s="281">
        <f>IF(ISNA(VLOOKUP($B$4,'Cash Handling'!$A$5:$AF$53,10,FALSE))=TRUE,"Dept not Found",VLOOKUP($B$4,'Cash Handling'!$A$5:$AF$53,10,FALSE))/1000</f>
        <v>1864.85475</v>
      </c>
      <c r="G28" s="281">
        <f>IF(ISNA(VLOOKUP($B$4,'Cash Handling'!$A$5:$AF$53,13,FALSE))=TRUE,"Dept not Found",VLOOKUP($B$4,'Cash Handling'!$A$5:$AF$53,13,FALSE))/1000</f>
        <v>251.803</v>
      </c>
      <c r="H28" s="281">
        <f>IF(ISNA(VLOOKUP($B$4,'Cash Handling'!$A$5:$AF$53,16,FALSE))=TRUE,"Dept not Found",VLOOKUP($B$4,'Cash Handling'!$A$5:$AF$53,16,FALSE))/1000</f>
        <v>117.73008</v>
      </c>
      <c r="I28" s="281">
        <f>IF(ISNA(VLOOKUP($B$4,'Cash Handling'!$A$5:$AF$53,19,FALSE))=TRUE,"Dept not Found",VLOOKUP($B$4,'Cash Handling'!$A$5:$AF$53,19,FALSE))/1000</f>
        <v>46.104099999999995</v>
      </c>
      <c r="K28" s="283" t="s">
        <v>358</v>
      </c>
    </row>
    <row r="29" spans="2:11" ht="30" customHeight="1" x14ac:dyDescent="0.25">
      <c r="B29" s="260" t="s">
        <v>297</v>
      </c>
      <c r="C29" s="261"/>
      <c r="D29" s="277"/>
      <c r="E29" s="277">
        <f>IF(ISNA(VLOOKUP($B$4,'Cash Handling'!$A$5:$AF$53,21,FALSE))=TRUE,"Dept not Found",VLOOKUP($B$4,'Cash Handling'!$A$5:$AF$53,21,FALSE))</f>
        <v>2</v>
      </c>
      <c r="F29" s="277"/>
      <c r="G29" s="277">
        <f>IF(ISNA(VLOOKUP($B$4,'Cash Handling'!$A$5:$AF$53,24,FALSE))=TRUE,"Dept not Found",VLOOKUP($B$4,'Cash Handling'!$A$5:$AF$53,24,FALSE))</f>
        <v>4</v>
      </c>
      <c r="H29" s="277">
        <f>IF(ISNA(VLOOKUP($B$4,'Cash Handling'!$A$5:$AF$53,27,FALSE))=TRUE,"Dept not Found",VLOOKUP($B$4,'Cash Handling'!$A$5:$AF$53,27,FALSE))</f>
        <v>4</v>
      </c>
      <c r="I29" s="277">
        <f>IF(ISNA(VLOOKUP($B$4,'Cash Handling'!$A$5:$AF$53,30,FALSE))=TRUE,"Dept not Found",VLOOKUP($B$4,'Cash Handling'!$A$5:$AF$53,30,FALSE))</f>
        <v>3</v>
      </c>
      <c r="K29" s="283" t="s">
        <v>358</v>
      </c>
    </row>
    <row r="30" spans="2:11" ht="30" customHeight="1" x14ac:dyDescent="0.25">
      <c r="B30" s="260" t="s">
        <v>298</v>
      </c>
      <c r="C30" s="261"/>
      <c r="D30" s="261"/>
      <c r="E30" s="277">
        <f>IF(ISNA(VLOOKUP($B$4,'Cash Handling'!$A$5:$AF$53,22,FALSE))=TRUE,"Dept not Found",VLOOKUP($B$4,'Cash Handling'!$A$5:$AF$53,22,FALSE))</f>
        <v>2</v>
      </c>
      <c r="F30" s="277"/>
      <c r="G30" s="277">
        <f>IF(ISNA(VLOOKUP($B$4,'Cash Handling'!$A$5:$AF$53,25,FALSE))=TRUE,"Dept not Found",VLOOKUP($B$4,'Cash Handling'!$A$5:$AF$53,25,FALSE))</f>
        <v>3</v>
      </c>
      <c r="H30" s="277">
        <f>IF(ISNA(VLOOKUP($B$4,'Cash Handling'!$A$5:$AF$53,28,FALSE))=TRUE,"Dept not Found",VLOOKUP($B$4,'Cash Handling'!$A$5:$AF$53,28,FALSE))</f>
        <v>3</v>
      </c>
      <c r="I30" s="277">
        <f>IF(ISNA(VLOOKUP($B$4,'Cash Handling'!$A$5:$AF$53,31,FALSE))=TRUE,"Dept not Found",VLOOKUP($B$4,'Cash Handling'!$A$5:$AF$53,31,FALSE))</f>
        <v>2</v>
      </c>
      <c r="K30" s="283" t="s">
        <v>358</v>
      </c>
    </row>
    <row r="31" spans="2:11" ht="30" customHeight="1" x14ac:dyDescent="0.25">
      <c r="B31" s="260" t="s">
        <v>299</v>
      </c>
      <c r="C31" s="261"/>
      <c r="D31" s="261"/>
      <c r="E31" s="278">
        <f>IF(ISNA(VLOOKUP($B$4,'Cash Handling'!$A$5:$AF$53,23,FALSE))=TRUE,"Dept not Found",VLOOKUP($B$4,'Cash Handling'!$A$5:$AF$53,23,FALSE))</f>
        <v>1</v>
      </c>
      <c r="F31" s="278"/>
      <c r="G31" s="278">
        <f>IF(ISNA(VLOOKUP($B$4,'Cash Handling'!$A$5:$AF$53,26,FALSE))=TRUE,"Dept not Found",VLOOKUP($B$4,'Cash Handling'!$A$5:$AF$53,26,FALSE))</f>
        <v>0.75</v>
      </c>
      <c r="H31" s="278">
        <f>IF(ISNA(VLOOKUP($B$4,'Cash Handling'!$A$5:$AF$53,29,FALSE))=TRUE,"Dept not Found",VLOOKUP($B$4,'Cash Handling'!$A$5:$AF$53,29,FALSE))</f>
        <v>0.75</v>
      </c>
      <c r="I31" s="278">
        <f>IF(ISNA(VLOOKUP($B$4,'Cash Handling'!$A$5:$AF$53,32,FALSE))=TRUE,"Dept not Found",VLOOKUP($B$4,'Cash Handling'!$A$5:$AF$53,32,FALSE))</f>
        <v>0.66666666666666663</v>
      </c>
      <c r="K31" s="283" t="s">
        <v>358</v>
      </c>
    </row>
    <row r="32" spans="2:11" ht="30" customHeight="1" x14ac:dyDescent="0.25">
      <c r="B32" s="260" t="s">
        <v>300</v>
      </c>
      <c r="C32" s="261"/>
      <c r="D32" s="277">
        <f>IF(ISNA(VLOOKUP($B$4,'Credit Card'!$A$5:$BA$53,2,FALSE))=TRUE,"Dept not Found",VLOOKUP($B$4,'Credit Card'!$A$5:$BA$53,2,FALSE))</f>
        <v>0</v>
      </c>
      <c r="E32" s="277">
        <f>IF(ISNA(VLOOKUP($B$4,'Credit Card'!$A$5:$BA$53,5,FALSE))=TRUE,"Dept not Found",VLOOKUP($B$4,'Credit Card'!$A$5:$BA$53,5,FALSE))</f>
        <v>0</v>
      </c>
      <c r="F32" s="277">
        <f>IF(ISNA(VLOOKUP($B$4,'Credit Card'!$A$5:$BA$53,8,FALSE))=TRUE,"Dept not Found",VLOOKUP($B$4,'Credit Card'!$A$5:$BA$53,8,FALSE))</f>
        <v>0</v>
      </c>
      <c r="G32" s="277">
        <f>IF(ISNA(VLOOKUP($B$4,'Credit Card'!$A$5:$BA$53,11,FALSE))=TRUE,"Dept not Found",VLOOKUP($B$4,'Credit Card'!$A$5:$BA$53,11,FALSE))</f>
        <v>0</v>
      </c>
      <c r="H32" s="277">
        <f>IF(ISNA(VLOOKUP($B$4,'Credit Card'!$A$5:$BA$53,14,FALSE))=TRUE,"Dept not Found",VLOOKUP($B$4,'Credit Card'!$A$5:$BA$53,14,FALSE))</f>
        <v>0</v>
      </c>
      <c r="I32" s="277" t="str">
        <f>IF(ISNA(VLOOKUP($B$4,'Credit Card'!$A$5:$BA$53,17,FALSE))=TRUE,"Dept not Found",VLOOKUP($B$4,'Credit Card'!$A$5:$BA$53,17,FALSE))</f>
        <v>n/a</v>
      </c>
      <c r="K32" s="301" t="s">
        <v>359</v>
      </c>
    </row>
    <row r="33" spans="2:11" ht="30" customHeight="1" x14ac:dyDescent="0.25">
      <c r="B33" s="260" t="s">
        <v>301</v>
      </c>
      <c r="C33" s="261"/>
      <c r="D33" s="277">
        <f>IF(ISNA(VLOOKUP($B$4,'Credit Card'!$A$5:$BA$53,3,FALSE))=TRUE,"Dept not Found",VLOOKUP($B$4,'Credit Card'!$A$5:$BA$53,3,FALSE))</f>
        <v>0</v>
      </c>
      <c r="E33" s="277">
        <f>IF(ISNA(VLOOKUP($B$4,'Credit Card'!$A$5:$BA$53,6,FALSE))=TRUE,"Dept not Found",VLOOKUP($B$4,'Credit Card'!$A$5:$BA$53,6,FALSE))</f>
        <v>0</v>
      </c>
      <c r="F33" s="277">
        <f>IF(ISNA(VLOOKUP($B$4,'Credit Card'!$A$5:$BA$53,9,FALSE))=TRUE,"Dept not Found",VLOOKUP($B$4,'Credit Card'!$A$5:$BA$53,9,FALSE))</f>
        <v>0</v>
      </c>
      <c r="G33" s="277">
        <f>IF(ISNA(VLOOKUP($B$4,'Credit Card'!$A$5:$BA$53,12,FALSE))=TRUE,"Dept not Found",VLOOKUP($B$4,'Credit Card'!$A$5:$BA$53,12,FALSE))</f>
        <v>0</v>
      </c>
      <c r="H33" s="277">
        <f>IF(ISNA(VLOOKUP($B$4,'Credit Card'!$A$5:$BA$53,15,FALSE))=TRUE,"Dept not Found",VLOOKUP($B$4,'Credit Card'!$A$5:$BA$53,15,FALSE))</f>
        <v>0</v>
      </c>
      <c r="I33" s="277" t="str">
        <f>IF(ISNA(VLOOKUP($B$4,'Credit Card'!$A$5:$BA$53,18,FALSE))=TRUE,"Dept not Found",VLOOKUP($B$4,'Credit Card'!$A$5:$BA$53,18,FALSE))</f>
        <v>n/a</v>
      </c>
      <c r="K33" s="301" t="s">
        <v>359</v>
      </c>
    </row>
    <row r="34" spans="2:11" ht="30" customHeight="1" x14ac:dyDescent="0.25">
      <c r="B34" s="260" t="s">
        <v>302</v>
      </c>
      <c r="C34" s="261"/>
      <c r="D34" s="278">
        <f>IF(ISNA(VLOOKUP($B$4,'Credit Card'!$A$5:$BA$53,4,FALSE))=TRUE,"Dept not Found",VLOOKUP($B$4,'Credit Card'!$A$5:$BA$53,4,FALSE))</f>
        <v>0</v>
      </c>
      <c r="E34" s="278">
        <f>IF(ISNA(VLOOKUP($B$4,'Credit Card'!$A$5:$BA$53,7,FALSE))=TRUE,"Dept not Found",VLOOKUP($B$4,'Credit Card'!$A$5:$BA$53,7,FALSE))</f>
        <v>0</v>
      </c>
      <c r="F34" s="278">
        <f>IF(ISNA(VLOOKUP($B$4,'Credit Card'!$A$5:$BA$53,10,FALSE))=TRUE,"Dept not Found",VLOOKUP($B$4,'Credit Card'!$A$5:$BA$53,10,FALSE))</f>
        <v>0</v>
      </c>
      <c r="G34" s="278">
        <f>IF(ISNA(VLOOKUP($B$4,'Credit Card'!$A$5:$BA$53,13,FALSE))=TRUE,"Dept not Found",VLOOKUP($B$4,'Credit Card'!$A$5:$BA$53,13,FALSE))</f>
        <v>0</v>
      </c>
      <c r="H34" s="278">
        <f>IF(ISNA(VLOOKUP($B$4,'Credit Card'!$A$5:$BA$53,16,FALSE))=TRUE,"Dept not Found",VLOOKUP($B$4,'Credit Card'!$A$5:$BA$53,16,FALSE))</f>
        <v>0</v>
      </c>
      <c r="I34" s="278">
        <f>IF(ISNA(VLOOKUP($B$4,'Credit Card'!$A$5:$BA$53,19,FALSE))=TRUE,"Dept not Found",VLOOKUP($B$4,'Credit Card'!$A$5:$BA$53,19,FALSE))</f>
        <v>0</v>
      </c>
      <c r="K34" s="301" t="s">
        <v>359</v>
      </c>
    </row>
    <row r="35" spans="2:11" ht="30" customHeight="1" x14ac:dyDescent="0.25">
      <c r="B35" s="260" t="s">
        <v>303</v>
      </c>
      <c r="C35" s="261"/>
      <c r="E35" s="277">
        <f>IF(ISNA(VLOOKUP($B$4,'Credit Card'!$A$5:$BA$53,21,FALSE))=TRUE,"Dept not Found",VLOOKUP($B$4,'Credit Card'!$A$5:$BA$53,21,FALSE))</f>
        <v>0</v>
      </c>
      <c r="F35" s="277">
        <f>IF(ISNA(VLOOKUP($B$4,'Credit Card'!$A$5:$BA$53,25,FALSE))=TRUE,"Dept not Found",VLOOKUP($B$4,'Credit Card'!$A$5:$BA$53,25,FALSE))</f>
        <v>0</v>
      </c>
      <c r="G35" s="277">
        <f>IF(ISNA(VLOOKUP($B$4,'Credit Card'!$A$5:$BA$53,29,FALSE))=TRUE,"Dept not Found",VLOOKUP($B$4,'Credit Card'!$A$5:$BA$53,29,FALSE))</f>
        <v>0</v>
      </c>
      <c r="H35" s="277">
        <f>IF(ISNA(VLOOKUP($B$4,'Credit Card'!$A$5:$BA$53,33,FALSE))=TRUE,"Dept not Found",VLOOKUP($B$4,'Credit Card'!$A$5:$BA$53,33,FALSE))</f>
        <v>0</v>
      </c>
      <c r="I35" s="277">
        <f>IF(ISNA(VLOOKUP($B$4,'Credit Card'!$A$5:$BA$53,37,FALSE))=TRUE,"Dept not Found",VLOOKUP($B$4,'Credit Card'!$A$5:$BA$53,37,FALSE))</f>
        <v>0</v>
      </c>
      <c r="K35" s="301" t="s">
        <v>359</v>
      </c>
    </row>
    <row r="36" spans="2:11" ht="30" customHeight="1" x14ac:dyDescent="0.25">
      <c r="B36" s="260" t="s">
        <v>360</v>
      </c>
      <c r="C36" s="261"/>
      <c r="D36" s="281"/>
      <c r="E36" s="281">
        <f>IF(ISNA(VLOOKUP($B$4,'Credit Card'!$A$5:$BA$53,22,FALSE))=TRUE,"Dept not Found",VLOOKUP($B$4,'Credit Card'!$A$5:$BA$53,22,FALSE))/1000</f>
        <v>0</v>
      </c>
      <c r="F36" s="281">
        <f>IF(ISNA(VLOOKUP($B$4,'Credit Card'!$A$5:$BA$53,26,FALSE))=TRUE,"Dept not Found",VLOOKUP($B$4,'Credit Card'!$A$5:$BA$53,26,FALSE))/1000</f>
        <v>0</v>
      </c>
      <c r="G36" s="281">
        <f>IF(ISNA(VLOOKUP($B$4,'Credit Card'!$A$5:$BA$53,30,FALSE))=TRUE,"Dept not Found",VLOOKUP($B$4,'Credit Card'!$A$5:$BA$53,30,FALSE))/1000</f>
        <v>0</v>
      </c>
      <c r="H36" s="281">
        <f>IF(ISNA(VLOOKUP($B$4,'Credit Card'!$A$5:$BA$53,34,FALSE))=TRUE,"Dept not Found",VLOOKUP($B$4,'Credit Card'!$A$5:$BA$53,34,FALSE))/1000</f>
        <v>0</v>
      </c>
      <c r="I36" s="281">
        <f>IF(ISNA(VLOOKUP($B$4,'Credit Card'!$A$5:$BA$53,38,FALSE))=TRUE,"Dept not Found",VLOOKUP($B$4,'Credit Card'!$A$5:$BA$53,38,FALSE))/1000</f>
        <v>0</v>
      </c>
      <c r="K36" s="301" t="s">
        <v>359</v>
      </c>
    </row>
    <row r="37" spans="2:11" ht="30" customHeight="1" x14ac:dyDescent="0.25">
      <c r="B37" s="260" t="s">
        <v>304</v>
      </c>
      <c r="C37" s="261"/>
      <c r="D37" s="261"/>
      <c r="E37" s="277">
        <f>IF(ISNA(VLOOKUP($B$4,'Credit Card'!$A$5:$BA$53,23,FALSE))=TRUE,"Dept not Found",VLOOKUP($B$4,'Credit Card'!$A$5:$BA$53,23,FALSE))</f>
        <v>0</v>
      </c>
      <c r="F37" s="277">
        <f>IF(ISNA(VLOOKUP($B$4,'Credit Card'!$A$5:$BA$53,27,FALSE))=TRUE,"Dept not Found",VLOOKUP($B$4,'Credit Card'!$A$5:$BA$53,27,FALSE))</f>
        <v>0</v>
      </c>
      <c r="G37" s="277">
        <f>IF(ISNA(VLOOKUP($B$4,'Credit Card'!$A$5:$BA$53,31,FALSE))=TRUE,"Dept not Found",VLOOKUP($B$4,'Credit Card'!$A$5:$BA$53,31,FALSE))</f>
        <v>0</v>
      </c>
      <c r="H37" s="277">
        <f>IF(ISNA(VLOOKUP($B$4,'Credit Card'!$A$5:$BA$53,35,FALSE))=TRUE,"Dept not Found",VLOOKUP($B$4,'Credit Card'!$A$5:$BA$53,35,FALSE))</f>
        <v>0</v>
      </c>
      <c r="I37" s="277">
        <f>IF(ISNA(VLOOKUP($B$4,'Credit Card'!$A$5:$BA$53,39,FALSE))=TRUE,"Dept not Found",VLOOKUP($B$4,'Credit Card'!$A$5:$BA$53,39,FALSE))</f>
        <v>0</v>
      </c>
      <c r="K37" s="301" t="s">
        <v>359</v>
      </c>
    </row>
    <row r="38" spans="2:11" ht="30" customHeight="1" x14ac:dyDescent="0.25">
      <c r="B38" s="260" t="s">
        <v>305</v>
      </c>
      <c r="C38" s="261"/>
      <c r="D38" s="261"/>
      <c r="E38" s="281">
        <f>IF(ISNA(VLOOKUP($B$4,'Credit Card'!$A$5:$BA$53,24,FALSE))=TRUE,"Dept not Found",VLOOKUP($B$4,'Credit Card'!$A$5:$BA$53,24,FALSE))/1000</f>
        <v>0</v>
      </c>
      <c r="F38" s="281">
        <f>IF(ISNA(VLOOKUP($B$4,'Credit Card'!$A$5:$BA$53,28,FALSE))=TRUE,"Dept not Found",VLOOKUP($B$4,'Credit Card'!$A$5:$BA$53,28,FALSE))/1000</f>
        <v>0</v>
      </c>
      <c r="G38" s="281">
        <f>IF(ISNA(VLOOKUP($B$4,'Credit Card'!$A$5:$BA$53,32,FALSE))=TRUE,"Dept not Found",VLOOKUP($B$4,'Credit Card'!$A$5:$BA$53,32,FALSE))/1000</f>
        <v>0</v>
      </c>
      <c r="H38" s="281">
        <f>IF(ISNA(VLOOKUP($B$4,'Credit Card'!$A$5:$BA$53,36,FALSE))=TRUE,"Dept not Found",VLOOKUP($B$4,'Credit Card'!$A$5:$BA$53,36,FALSE))/1000</f>
        <v>0</v>
      </c>
      <c r="I38" s="281">
        <f>IF(ISNA(VLOOKUP($B$4,'Credit Card'!$A$5:$BA$53,40,FALSE))=TRUE,"Dept not Found",VLOOKUP($B$4,'Credit Card'!$A$5:$BA$53,40,FALSE))/1000</f>
        <v>0</v>
      </c>
      <c r="K38" s="301" t="s">
        <v>359</v>
      </c>
    </row>
    <row r="39" spans="2:11" ht="30" customHeight="1" x14ac:dyDescent="0.25">
      <c r="B39" s="260" t="s">
        <v>306</v>
      </c>
      <c r="C39" s="261"/>
      <c r="D39" s="261"/>
      <c r="E39" s="277">
        <f>IF(ISNA(VLOOKUP($B$4,'Credit Card'!$A$5:$BA$53,42,FALSE))=TRUE,"Dept not Found",VLOOKUP($B$4,'Credit Card'!$A$5:$BA$53,42,FALSE))</f>
        <v>0</v>
      </c>
      <c r="F39" s="277"/>
      <c r="G39" s="277">
        <f>IF(ISNA(VLOOKUP($B$4,'Credit Card'!$A$5:$BA$53,45,FALSE))=TRUE,"Dept not Found",VLOOKUP($B$4,'Credit Card'!$A$5:$BA$53,45,FALSE))</f>
        <v>0</v>
      </c>
      <c r="H39" s="277">
        <f>IF(ISNA(VLOOKUP($B$4,'Credit Card'!$A$5:$BA$53,48,FALSE))=TRUE,"Dept not Found",VLOOKUP($B$4,'Credit Card'!$A$5:$BA$53,48,FALSE))</f>
        <v>0</v>
      </c>
      <c r="I39" s="277">
        <f>IF(ISNA(VLOOKUP($B$4,'Credit Card'!$A$5:$BA$53,51,FALSE))=TRUE,"Dept not Found",VLOOKUP($B$4,'Credit Card'!$A$5:$BA$53,51,FALSE))</f>
        <v>0</v>
      </c>
      <c r="K39" s="301" t="s">
        <v>359</v>
      </c>
    </row>
    <row r="40" spans="2:11" ht="30" customHeight="1" x14ac:dyDescent="0.25">
      <c r="B40" s="260" t="s">
        <v>307</v>
      </c>
      <c r="C40" s="261"/>
      <c r="D40" s="261"/>
      <c r="E40" s="277">
        <f>IF(ISNA(VLOOKUP($B$4,'Credit Card'!$A$5:$BA$53,43,FALSE))=TRUE,"Dept not Found",VLOOKUP($B$4,'Credit Card'!$A$5:$BA$53,43,FALSE))</f>
        <v>0</v>
      </c>
      <c r="F40" s="277"/>
      <c r="G40" s="277">
        <f>IF(ISNA(VLOOKUP($B$4,'Credit Card'!$A$5:$BA$53,46,FALSE))=TRUE,"Dept not Found",VLOOKUP($B$4,'Credit Card'!$A$5:$BA$53,46,FALSE))</f>
        <v>0</v>
      </c>
      <c r="H40" s="277">
        <f>IF(ISNA(VLOOKUP($B$4,'Credit Card'!$A$5:$BA$53,49,FALSE))=TRUE,"Dept not Found",VLOOKUP($B$4,'Credit Card'!$A$5:$BA$53,49,FALSE))</f>
        <v>0</v>
      </c>
      <c r="I40" s="277">
        <f>IF(ISNA(VLOOKUP($B$4,'Credit Card'!$A$5:$BA$53,52,FALSE))=TRUE,"Dept not Found",VLOOKUP($B$4,'Credit Card'!$A$5:$BA$53,52,FALSE))</f>
        <v>0</v>
      </c>
      <c r="K40" s="301" t="s">
        <v>359</v>
      </c>
    </row>
    <row r="41" spans="2:11" ht="30" customHeight="1" x14ac:dyDescent="0.25">
      <c r="B41" s="260" t="s">
        <v>308</v>
      </c>
      <c r="C41" s="261"/>
      <c r="D41" s="278"/>
      <c r="E41" s="278">
        <f>IF(ISNA(VLOOKUP($B$4,'Credit Card'!$A$5:$BA$53,44,FALSE))=TRUE,"Dept not Found",VLOOKUP($B$4,'Credit Card'!$A$5:$BA$53,44,FALSE))</f>
        <v>0</v>
      </c>
      <c r="F41" s="278"/>
      <c r="G41" s="278">
        <f>IF(ISNA(VLOOKUP($B$4,'Credit Card'!$A$5:$BA$53,47,FALSE))=TRUE,"Dept not Found",VLOOKUP($B$4,'Credit Card'!$A$5:$BA$53,47,FALSE))</f>
        <v>0</v>
      </c>
      <c r="H41" s="278">
        <f>IF(ISNA(VLOOKUP($B$4,'Credit Card'!$A$5:$BA$53,50,FALSE))=TRUE,"Dept not Found",VLOOKUP($B$4,'Credit Card'!$A$5:$BA$53,50,FALSE))</f>
        <v>0</v>
      </c>
      <c r="I41" s="278">
        <f>IF(ISNA(VLOOKUP($B$4,'Credit Card'!$A$5:$BA$53,53,FALSE))=TRUE,"Dept not Found",VLOOKUP($B$4,'Credit Card'!$A$5:$BA$53,53,FALSE))</f>
        <v>0</v>
      </c>
      <c r="K41" s="301" t="s">
        <v>359</v>
      </c>
    </row>
    <row r="42" spans="2:11" ht="30" customHeight="1" x14ac:dyDescent="0.25">
      <c r="B42" s="260" t="s">
        <v>311</v>
      </c>
      <c r="C42" s="261"/>
      <c r="D42" s="261"/>
      <c r="E42" s="277">
        <f>IF(ISNA(VLOOKUP($B$4,Concur!$A$5:$N$53,2,FALSE))=TRUE,"Dept not Found",VLOOKUP($B$4,Concur!$A$5:$N$53,2,FALSE))</f>
        <v>5</v>
      </c>
      <c r="F42" s="280"/>
      <c r="G42" s="277">
        <f>IF(ISNA(VLOOKUP($B$4,Concur!$A$5:$N$53,3,FALSE))=TRUE,"Dept not Found",VLOOKUP($B$4,Concur!$A$5:$N$53,3,FALSE))</f>
        <v>7</v>
      </c>
      <c r="H42" s="277">
        <f>IF(ISNA(VLOOKUP($B$4,Concur!$A$5:$N$53,4,FALSE))=TRUE,"Dept not Found",VLOOKUP($B$4,Concur!$A$5:$N$53,4,FALSE))</f>
        <v>7</v>
      </c>
      <c r="I42" s="277">
        <f>IF(ISNA(VLOOKUP($B$4,Concur!$A$5:$N$53,5,FALSE))=TRUE,"Dept not Found",VLOOKUP($B$4,Concur!$A$5:$N$53,5,FALSE))</f>
        <v>7</v>
      </c>
      <c r="K42" s="284" t="s">
        <v>310</v>
      </c>
    </row>
    <row r="43" spans="2:11" ht="30" customHeight="1" x14ac:dyDescent="0.25">
      <c r="B43" s="260" t="s">
        <v>312</v>
      </c>
      <c r="C43" s="261"/>
      <c r="D43" s="261"/>
      <c r="E43" s="277">
        <f>IF(ISNA(VLOOKUP($B$4,Concur!$A$5:$N$53,7,FALSE))=TRUE,"Dept not Found",VLOOKUP($B$4,Concur!$A$5:$N$53,7,FALSE))</f>
        <v>4</v>
      </c>
      <c r="F43" s="280"/>
      <c r="G43" s="277">
        <f>IF(ISNA(VLOOKUP($B$4,Concur!$A$5:$N$53,9,FALSE))=TRUE,"Dept not Found",VLOOKUP($B$4,Concur!$A$5:$N$53,9,FALSE))</f>
        <v>4</v>
      </c>
      <c r="H43" s="277">
        <f>IF(ISNA(VLOOKUP($B$4,Concur!$A$5:$N$53,11,FALSE))=TRUE,"Dept not Found",VLOOKUP($B$4,Concur!$A$5:$N$53,11,FALSE))</f>
        <v>6</v>
      </c>
      <c r="I43" s="277">
        <f>IF(ISNA(VLOOKUP($B$4,Concur!$A$5:$N$53,13,FALSE))=TRUE,"Dept not Found",VLOOKUP($B$4,Concur!$A$5:$N$53,13,FALSE))</f>
        <v>5</v>
      </c>
      <c r="K43" s="284" t="s">
        <v>310</v>
      </c>
    </row>
    <row r="44" spans="2:11" ht="30" customHeight="1" x14ac:dyDescent="0.25">
      <c r="B44" s="260" t="s">
        <v>313</v>
      </c>
      <c r="C44" s="261"/>
      <c r="D44" s="261"/>
      <c r="E44" s="278">
        <f>IF(ISNA(VLOOKUP($B$4,Concur!$A$5:$N$53,8,FALSE))=TRUE,"Dept not Found",VLOOKUP($B$4,Concur!$A$5:$N$53,8,FALSE))</f>
        <v>0.8</v>
      </c>
      <c r="F44" s="278"/>
      <c r="G44" s="278">
        <f>IF(ISNA(VLOOKUP($B$4,Concur!$A$5:$N$53,10,FALSE))=TRUE,"Dept not Found",VLOOKUP($B$4,Concur!$A$5:$N$53,10,FALSE))</f>
        <v>0.5714285714285714</v>
      </c>
      <c r="H44" s="278">
        <f>IF(ISNA(VLOOKUP($B$4,Concur!$A$5:$N$53,12,FALSE))=TRUE,"Dept not Found",VLOOKUP($B$4,Concur!$A$5:$N$53,12,FALSE))</f>
        <v>0.8571428571428571</v>
      </c>
      <c r="I44" s="278">
        <f>IF(ISNA(VLOOKUP($B$4,Concur!$A$5:$N$53,14,FALSE))=TRUE,"Dept not Found",VLOOKUP($B$4,Concur!$A$5:$N$53,14,FALSE))</f>
        <v>0.7142857142857143</v>
      </c>
      <c r="K44" s="284" t="s">
        <v>310</v>
      </c>
    </row>
    <row r="45" spans="2:11" ht="30" customHeight="1" x14ac:dyDescent="0.25">
      <c r="B45" s="260" t="s">
        <v>362</v>
      </c>
      <c r="C45" s="261"/>
      <c r="D45" s="281">
        <f>IF(ISNA(VLOOKUP($B$4,'Gift Funds'!$A$5:$AC$53,2,FALSE))=TRUE,"Dept not Found",VLOOKUP($B$4,'Gift Funds'!$A$5:$AC$53,2,FALSE))/1000</f>
        <v>3474.4156499999999</v>
      </c>
      <c r="E45" s="281">
        <f>IF(ISNA(VLOOKUP($B$4,'Gift Funds'!$A$5:$AC$53,3,FALSE))=TRUE,"Dept not Found",VLOOKUP($B$4,'Gift Funds'!$A$5:$AC$53,3,FALSE))/1000</f>
        <v>3347.6185099999998</v>
      </c>
      <c r="F45" s="281">
        <f>IF(ISNA(VLOOKUP($B$4,'Gift Funds'!$A$5:$AC$53,4,FALSE))=TRUE,"Dept not Found",VLOOKUP($B$4,'Gift Funds'!$A$5:$AC$53,4,FALSE))/1000</f>
        <v>4079.114</v>
      </c>
      <c r="G45" s="281">
        <f>IF(ISNA(VLOOKUP($B$4,'Gift Funds'!$A$5:$AC$53,5,FALSE))=TRUE,"Dept not Found",VLOOKUP($B$4,'Gift Funds'!$A$5:$AC$53,5,FALSE))/1000</f>
        <v>4201.4812699999993</v>
      </c>
      <c r="H45" s="281">
        <f>IF(ISNA(VLOOKUP($B$4,'Gift Funds'!$A$5:$AC$53,6,FALSE))=TRUE,"Dept not Found",VLOOKUP($B$4,'Gift Funds'!$A$5:$AC$53,6,FALSE))/1000</f>
        <v>4325.7166299999999</v>
      </c>
      <c r="I45" s="281">
        <f>IF(ISNA(VLOOKUP($B$4,'Gift Funds'!$A$5:$AC$53,7,FALSE))=TRUE,"Dept not Found",VLOOKUP($B$4,'Gift Funds'!$A$5:$AC$53,7,FALSE))/1000</f>
        <v>4280.3485799999989</v>
      </c>
      <c r="K45" s="284" t="s">
        <v>315</v>
      </c>
    </row>
    <row r="46" spans="2:11" ht="30" customHeight="1" x14ac:dyDescent="0.25">
      <c r="B46" s="260" t="s">
        <v>316</v>
      </c>
      <c r="C46" s="261"/>
      <c r="D46" s="261"/>
      <c r="E46" s="280"/>
      <c r="F46" s="277">
        <f>IF(ISNA(VLOOKUP($B$4,'Gift Funds'!$A$5:$AC$53,22,FALSE))=TRUE,"Dept not Found",VLOOKUP($B$4,'Gift Funds'!$A$5:$AC$53,22,FALSE))</f>
        <v>3</v>
      </c>
      <c r="G46" s="277">
        <f>IF(ISNA(VLOOKUP($B$4,'Gift Funds'!$A$5:$AC$53,24,FALSE))=TRUE,"Dept not Found",VLOOKUP($B$4,'Gift Funds'!$A$5:$AC$53,24,FALSE))</f>
        <v>4</v>
      </c>
      <c r="H46" s="277">
        <f>IF(ISNA(VLOOKUP($B$4,'Gift Funds'!$A$5:$AC$53,26,FALSE))=TRUE,"Dept not Found",VLOOKUP($B$4,'Gift Funds'!$A$5:$AC$53,26,FALSE))</f>
        <v>3</v>
      </c>
      <c r="I46" s="277">
        <f>IF(ISNA(VLOOKUP($B$4,'Gift Funds'!$A$5:$AC$53,28,FALSE))=TRUE,"Dept not Found",VLOOKUP($B$4,'Gift Funds'!$A$5:$AC$53,28,FALSE))</f>
        <v>2</v>
      </c>
      <c r="K46" s="284" t="s">
        <v>315</v>
      </c>
    </row>
    <row r="47" spans="2:11" ht="30" customHeight="1" x14ac:dyDescent="0.25">
      <c r="B47" s="260" t="s">
        <v>317</v>
      </c>
      <c r="C47" s="261"/>
      <c r="D47" s="261"/>
      <c r="E47" s="280"/>
      <c r="F47" s="281">
        <f>IF(ISNA(VLOOKUP($B$4,'Gift Funds'!$A$5:$AC$53,23,FALSE))=TRUE,"Dept not Found",VLOOKUP($B$4,'Gift Funds'!$A$5:$AC$53,23,FALSE))/1000</f>
        <v>50.424160000000001</v>
      </c>
      <c r="G47" s="281">
        <f>IF(ISNA(VLOOKUP($B$4,'Gift Funds'!$A$5:$AC$53,25,FALSE))=TRUE,"Dept not Found",VLOOKUP($B$4,'Gift Funds'!$A$5:$AC$53,25,FALSE))/1000</f>
        <v>179.09504000000001</v>
      </c>
      <c r="H47" s="281">
        <f>IF(ISNA(VLOOKUP($B$4,'Gift Funds'!$A$5:$AC$53,27,FALSE))=TRUE,"Dept not Found",VLOOKUP($B$4,'Gift Funds'!$A$5:$AC$53,27,FALSE))/1000</f>
        <v>337.72307000000001</v>
      </c>
      <c r="I47" s="281">
        <f>IF(ISNA(VLOOKUP($B$4,'Gift Funds'!$A$5:$AC$53,29,FALSE))=TRUE,"Dept not Found",VLOOKUP($B$4,'Gift Funds'!$A$5:$AC$53,29,FALSE))/1000</f>
        <v>69.670140000000004</v>
      </c>
      <c r="K47" s="284" t="s">
        <v>315</v>
      </c>
    </row>
    <row r="48" spans="2:11" ht="30" customHeight="1" x14ac:dyDescent="0.25">
      <c r="B48" s="260" t="s">
        <v>320</v>
      </c>
      <c r="C48" s="261"/>
      <c r="D48" s="261"/>
      <c r="E48" s="281">
        <f>IF(ISNA(VLOOKUP($B$4,'Financial Aid'!$A$5:$AM$53,2,FALSE))=TRUE,"Dept not Found",VLOOKUP($B$4,'Financial Aid'!$A$5:$AM$53,2,FALSE))/1000</f>
        <v>687.73800000000006</v>
      </c>
      <c r="F48" s="281">
        <f>IF(ISNA(VLOOKUP($B$4,'Financial Aid'!$A$5:$AM$53,3,FALSE))=TRUE,"Dept not Found",VLOOKUP($B$4,'Financial Aid'!$A$5:$AM$53,3,FALSE))/1000</f>
        <v>1392.0730000000001</v>
      </c>
      <c r="G48" s="281">
        <f>IF(ISNA(VLOOKUP($B$4,'Financial Aid'!$A$5:$AM$53,4,FALSE))=TRUE,"Dept not Found",VLOOKUP($B$4,'Financial Aid'!$A$5:$AM$53,4,FALSE))/1000</f>
        <v>1396.538</v>
      </c>
      <c r="H48" s="281">
        <f>IF(ISNA(VLOOKUP($B$4,'Financial Aid'!$A$5:$AM$53,5,FALSE))=TRUE,"Dept not Found",VLOOKUP($B$4,'Financial Aid'!$A$5:$AM$53,5,FALSE))/1000</f>
        <v>1249.3119999999999</v>
      </c>
      <c r="I48" s="281">
        <f>IF(ISNA(VLOOKUP($B$4,'Financial Aid'!$A$5:$AM$53,6,FALSE))=TRUE,"Dept not Found",VLOOKUP($B$4,'Financial Aid'!$A$5:$AM$53,6,FALSE))/1000</f>
        <v>1347.4111299999972</v>
      </c>
      <c r="K48" s="284" t="s">
        <v>319</v>
      </c>
    </row>
    <row r="49" spans="2:11" ht="30" customHeight="1" x14ac:dyDescent="0.25">
      <c r="B49" s="260" t="s">
        <v>321</v>
      </c>
      <c r="C49" s="261"/>
      <c r="D49" s="261"/>
      <c r="E49" s="281">
        <f>IF(ISNA(VLOOKUP($B$4,'Financial Aid'!$A$5:$AM$53,8,FALSE))=TRUE,"Dept not Found",VLOOKUP($B$4,'Financial Aid'!$A$5:$AM$53,8,FALSE))/1000</f>
        <v>195.91300000000001</v>
      </c>
      <c r="F49" s="281">
        <f>IF(ISNA(VLOOKUP($B$4,'Financial Aid'!$A$5:$AM$53,10,FALSE))=TRUE,"Dept not Found",VLOOKUP($B$4,'Financial Aid'!$A$5:$AM$53,10,FALSE))/1000</f>
        <v>56.515000000000001</v>
      </c>
      <c r="G49" s="281">
        <f>IF(ISNA(VLOOKUP($B$4,'Financial Aid'!$A$5:$AM$53,12,FALSE))=TRUE,"Dept not Found",VLOOKUP($B$4,'Financial Aid'!$A$5:$AM$53,12,FALSE))/1000</f>
        <v>110.074</v>
      </c>
      <c r="H49" s="281">
        <f>IF(ISNA(VLOOKUP($B$4,'Financial Aid'!$A$5:$AM$53,14,FALSE))=TRUE,"Dept not Found",VLOOKUP($B$4,'Financial Aid'!$A$5:$AM$53,14,FALSE))/1000</f>
        <v>138.71299999999999</v>
      </c>
      <c r="I49" s="281">
        <f>IF(ISNA(VLOOKUP($B$4,'Financial Aid'!$A$5:$AM$53,16,FALSE))=TRUE,"Dept not Found",VLOOKUP($B$4,'Financial Aid'!$A$5:$AM$53,16,FALSE))/1000</f>
        <v>275.05</v>
      </c>
      <c r="K49" s="284" t="s">
        <v>319</v>
      </c>
    </row>
    <row r="50" spans="2:11" ht="30" customHeight="1" x14ac:dyDescent="0.25">
      <c r="B50" s="260" t="s">
        <v>322</v>
      </c>
      <c r="C50" s="261"/>
      <c r="D50" s="261"/>
      <c r="E50" s="278">
        <f>IF(ISNA(VLOOKUP($B$4,'Financial Aid'!$A$5:$AM$53,9,FALSE))=TRUE,"Dept not Found",VLOOKUP($B$4,'Financial Aid'!$A$5:$AM$53,9,FALSE))</f>
        <v>0.28486574829368161</v>
      </c>
      <c r="F50" s="278">
        <f>IF(ISNA(VLOOKUP($B$4,'Financial Aid'!$A$5:$AM$53,11,FALSE))=TRUE,"Dept not Found",VLOOKUP($B$4,'Financial Aid'!$A$5:$AM$53,11,FALSE))</f>
        <v>4.0597727274359896E-2</v>
      </c>
      <c r="G50" s="278">
        <f>IF(ISNA(VLOOKUP($B$4,'Financial Aid'!$A$5:$AM$53,13,FALSE))=TRUE,"Dept not Found",VLOOKUP($B$4,'Financial Aid'!$A$5:$AM$53,13,FALSE))</f>
        <v>7.881919432195901E-2</v>
      </c>
      <c r="H50" s="278">
        <f>IF(ISNA(VLOOKUP($B$4,'Financial Aid'!$A$5:$AM$53,15,FALSE))=TRUE,"Dept not Found",VLOOKUP($B$4,'Financial Aid'!$A$5:$AM$53,15,FALSE))</f>
        <v>0.11103151174406393</v>
      </c>
      <c r="I50" s="278">
        <f>IF(ISNA(VLOOKUP($B$4,'Financial Aid'!$A$5:$AM$53,17,FALSE))=TRUE,"Dept not Found",VLOOKUP($B$4,'Financial Aid'!$A$5:$AM$53,17,FALSE))</f>
        <v>0.20413220128291545</v>
      </c>
      <c r="K50" s="284" t="s">
        <v>319</v>
      </c>
    </row>
    <row r="51" spans="2:11" ht="30" customHeight="1" x14ac:dyDescent="0.25">
      <c r="B51" s="260" t="s">
        <v>323</v>
      </c>
      <c r="C51" s="261"/>
      <c r="D51" s="261"/>
      <c r="E51" s="281">
        <f>IF(ISNA(VLOOKUP($B$4,'Financial Aid'!$A$5:$AM$53,19,FALSE))=TRUE,"Dept not Found",VLOOKUP($B$4,'Financial Aid'!$A$5:$AM$53,19,FALSE))/1000</f>
        <v>338.51299999999998</v>
      </c>
      <c r="F51" s="281">
        <f>IF(ISNA(VLOOKUP($B$4,'Financial Aid'!$A$5:$AM$53,21,FALSE))=TRUE,"Dept not Found",VLOOKUP($B$4,'Financial Aid'!$A$5:$AM$53,21,FALSE))/1000</f>
        <v>660.41099999999994</v>
      </c>
      <c r="G51" s="281">
        <f>IF(ISNA(VLOOKUP($B$4,'Financial Aid'!$A$5:$AM$53,23,FALSE))=TRUE,"Dept not Found",VLOOKUP($B$4,'Financial Aid'!$A$5:$AM$53,23,FALSE))/1000</f>
        <v>583.29899999999998</v>
      </c>
      <c r="H51" s="281">
        <f>IF(ISNA(VLOOKUP($B$4,'Financial Aid'!$A$5:$AM$53,25,FALSE))=TRUE,"Dept not Found",VLOOKUP($B$4,'Financial Aid'!$A$5:$AM$53,25,FALSE))/1000</f>
        <v>513.52599999999995</v>
      </c>
      <c r="I51" s="281">
        <f>IF(ISNA(VLOOKUP($B$4,'Financial Aid'!$A$5:$AM$53,27,FALSE))=TRUE,"Dept not Found",VLOOKUP($B$4,'Financial Aid'!$A$5:$AM$53,27,FALSE))/1000</f>
        <v>472.48700000000002</v>
      </c>
      <c r="K51" s="284" t="s">
        <v>319</v>
      </c>
    </row>
    <row r="52" spans="2:11" ht="30" customHeight="1" x14ac:dyDescent="0.25">
      <c r="B52" s="260" t="s">
        <v>324</v>
      </c>
      <c r="C52" s="261"/>
      <c r="D52" s="261"/>
      <c r="E52" s="278">
        <f>IF(ISNA(VLOOKUP($B$4,'Financial Aid'!$A$5:$AM$53,20,FALSE))=TRUE,"Dept not Found",VLOOKUP($B$4,'Financial Aid'!$A$5:$AM$53,20,FALSE))</f>
        <v>0.49221215055733436</v>
      </c>
      <c r="F52" s="278">
        <f>IF(ISNA(VLOOKUP($B$4,'Financial Aid'!$A$5:$AM$53,22,FALSE))=TRUE,"Dept not Found",VLOOKUP($B$4,'Financial Aid'!$A$5:$AM$53,22,FALSE))</f>
        <v>0.47440831048371745</v>
      </c>
      <c r="G52" s="278">
        <f>IF(ISNA(VLOOKUP($B$4,'Financial Aid'!$A$5:$AM$53,24,FALSE))=TRUE,"Dept not Found",VLOOKUP($B$4,'Financial Aid'!$A$5:$AM$53,24,FALSE))</f>
        <v>0.41767499344808379</v>
      </c>
      <c r="H52" s="278">
        <f>IF(ISNA(VLOOKUP($B$4,'Financial Aid'!$A$5:$AM$53,26,FALSE))=TRUE,"Dept not Found",VLOOKUP($B$4,'Financial Aid'!$A$5:$AM$53,26,FALSE))</f>
        <v>0.41104704029097616</v>
      </c>
      <c r="I52" s="278">
        <f>IF(ISNA(VLOOKUP($B$4,'Financial Aid'!$A$5:$AM$53,28,FALSE))=TRUE,"Dept not Found",VLOOKUP($B$4,'Financial Aid'!$A$5:$AM$53,28,FALSE))</f>
        <v>0.35066282998567849</v>
      </c>
      <c r="K52" s="284" t="s">
        <v>319</v>
      </c>
    </row>
    <row r="53" spans="2:11" ht="30" customHeight="1" x14ac:dyDescent="0.25">
      <c r="B53" s="260" t="s">
        <v>325</v>
      </c>
      <c r="C53" s="261"/>
      <c r="D53" s="261"/>
      <c r="E53" s="277">
        <f>IF(ISNA(VLOOKUP($B$4,'Financial Aid'!$A$5:$AM$53,30,FALSE))=TRUE,"Dept not Found",VLOOKUP($B$4,'Financial Aid'!$A$5:$AM$53,30,FALSE))</f>
        <v>8</v>
      </c>
      <c r="F53" s="277">
        <f>IF(ISNA(VLOOKUP($B$4,'Financial Aid'!$A$5:$AM$53,32,FALSE))=TRUE,"Dept not Found",VLOOKUP($B$4,'Financial Aid'!$A$5:$AM$53,32,FALSE))</f>
        <v>12</v>
      </c>
      <c r="G53" s="277">
        <f>IF(ISNA(VLOOKUP($B$4,'Financial Aid'!$A$5:$AM$53,34,FALSE))=TRUE,"Dept not Found",VLOOKUP($B$4,'Financial Aid'!$A$5:$AM$53,34,FALSE))</f>
        <v>22</v>
      </c>
      <c r="H53" s="277">
        <f>IF(ISNA(VLOOKUP($B$4,'Financial Aid'!$A$5:$AM$53,36,FALSE))=TRUE,"Dept not Found",VLOOKUP($B$4,'Financial Aid'!$A$5:$AM$53,36,FALSE))</f>
        <v>30</v>
      </c>
      <c r="I53" s="277">
        <f>IF(ISNA(VLOOKUP($B$4,'Financial Aid'!$A$5:$AM$53,38,FALSE))=TRUE,"Dept not Found",VLOOKUP($B$4,'Financial Aid'!$A$5:$AM$53,38,FALSE))</f>
        <v>32</v>
      </c>
      <c r="K53" s="284" t="s">
        <v>319</v>
      </c>
    </row>
    <row r="54" spans="2:11" ht="30" customHeight="1" x14ac:dyDescent="0.25">
      <c r="B54" s="260" t="s">
        <v>326</v>
      </c>
      <c r="C54" s="261"/>
      <c r="D54" s="261"/>
      <c r="E54" s="281">
        <f>IF(ISNA(VLOOKUP($B$4,'Financial Aid'!$A$5:$AM$53,31,FALSE))=TRUE,"Dept not Found",VLOOKUP($B$4,'Financial Aid'!$A$5:$AM$53,31,FALSE))/1000</f>
        <v>25.905000000000001</v>
      </c>
      <c r="F54" s="281">
        <f>IF(ISNA(VLOOKUP($B$4,'Financial Aid'!$A$5:$AM$53,33,FALSE))=TRUE,"Dept not Found",VLOOKUP($B$4,'Financial Aid'!$A$5:$AM$53,33,FALSE))/1000</f>
        <v>66.052999999999997</v>
      </c>
      <c r="G54" s="281">
        <f>IF(ISNA(VLOOKUP($B$4,'Financial Aid'!$A$5:$AM$53,35,FALSE))=TRUE,"Dept not Found",VLOOKUP($B$4,'Financial Aid'!$A$5:$AM$53,35,FALSE))/1000</f>
        <v>64.756</v>
      </c>
      <c r="H54" s="281">
        <f>IF(ISNA(VLOOKUP($B$4,'Financial Aid'!$A$5:$AM$53,37,FALSE))=TRUE,"Dept not Found",VLOOKUP($B$4,'Financial Aid'!$A$5:$AM$53,37,FALSE))/1000</f>
        <v>166.39</v>
      </c>
      <c r="I54" s="281">
        <f>IF(ISNA(VLOOKUP($B$4,'Financial Aid'!$A$5:$AM$53,39,FALSE))=TRUE,"Dept not Found",VLOOKUP($B$4,'Financial Aid'!$A$5:$AM$53,39,FALSE))/1000</f>
        <v>162.489</v>
      </c>
      <c r="K54" s="284" t="s">
        <v>319</v>
      </c>
    </row>
    <row r="55" spans="2:11" ht="30" customHeight="1" x14ac:dyDescent="0.25">
      <c r="B55" s="260" t="s">
        <v>327</v>
      </c>
      <c r="C55" s="261"/>
      <c r="D55" s="261"/>
      <c r="E55" s="280"/>
      <c r="F55" s="280"/>
      <c r="G55" s="277">
        <f>IF(ISNA(VLOOKUP($B$4,'Capital Equipment'!$A$5:$AA$53,2,FALSE))=TRUE,"Dept not Found",VLOOKUP($B$4,'Capital Equipment'!$A$5:$AA$53,2,FALSE))</f>
        <v>455</v>
      </c>
      <c r="H55" s="277">
        <f>IF(ISNA(VLOOKUP($B$4,'Capital Equipment'!$A$5:$AA$53,9,FALSE))=TRUE,"Dept not Found",VLOOKUP($B$4,'Capital Equipment'!$A$5:$AA$53,9,FALSE))</f>
        <v>490</v>
      </c>
      <c r="I55" s="277">
        <f>IF(ISNA(VLOOKUP($B$4,'Capital Equipment'!$A$5:$AA$53,19,FALSE))=TRUE,"Dept not Found",VLOOKUP($B$4,'Capital Equipment'!$A$5:$AA$53,19,FALSE))</f>
        <v>518</v>
      </c>
    </row>
    <row r="56" spans="2:11" ht="30" customHeight="1" x14ac:dyDescent="0.25">
      <c r="B56" s="260" t="s">
        <v>281</v>
      </c>
      <c r="C56" s="261"/>
      <c r="D56" s="261"/>
      <c r="E56" s="280"/>
      <c r="F56" s="280"/>
      <c r="G56" s="280"/>
      <c r="H56" s="277">
        <f>IF(ISNA(VLOOKUP($B$4,'Capital Equipment'!$A$5:$AA$53,12,FALSE))=TRUE,"Dept not Found",VLOOKUP($B$4,'Capital Equipment'!$A$5:$AA$53,12,FALSE))</f>
        <v>386</v>
      </c>
      <c r="I56" s="277">
        <f>IF(ISNA(VLOOKUP($B$4,'Capital Equipment'!$A$5:$AA$53,22,FALSE))=TRUE,"Dept not Found",VLOOKUP($B$4,'Capital Equipment'!$A$5:$AA$53,22,FALSE))</f>
        <v>2</v>
      </c>
    </row>
    <row r="57" spans="2:11" ht="30" customHeight="1" x14ac:dyDescent="0.25">
      <c r="B57" s="260" t="s">
        <v>354</v>
      </c>
      <c r="C57" s="261"/>
      <c r="D57" s="261"/>
      <c r="E57" s="280"/>
      <c r="F57" s="280"/>
      <c r="G57" s="278"/>
      <c r="H57" s="278">
        <f>IF(ISNA(VLOOKUP($B$4,'Capital Equipment'!$A$5:$AA$53,18,FALSE))=TRUE,"Dept not Found",VLOOKUP($B$4,'Capital Equipment'!$A$5:$AA$53,18,FALSE))</f>
        <v>0.78775510204081634</v>
      </c>
      <c r="I57" s="278">
        <f>IF(ISNA(VLOOKUP($B$4,'Capital Equipment'!$A$5:$AB$53,28,FALSE))=TRUE,"Dept not Found",VLOOKUP($B$4,'Capital Equipment'!$A$5:$AB$53,28,FALSE))</f>
        <v>3.8610038610038611E-3</v>
      </c>
    </row>
    <row r="58" spans="2:11" ht="30" customHeight="1" x14ac:dyDescent="0.25">
      <c r="B58" s="260" t="s">
        <v>356</v>
      </c>
      <c r="C58" s="261"/>
      <c r="D58" s="261"/>
      <c r="E58" s="280"/>
      <c r="F58" s="280"/>
      <c r="G58" s="280"/>
      <c r="H58" s="277"/>
      <c r="I58" s="277"/>
    </row>
    <row r="59" spans="2:11" ht="30" customHeight="1" x14ac:dyDescent="0.25">
      <c r="B59" s="260" t="s">
        <v>327</v>
      </c>
      <c r="C59" s="261"/>
      <c r="D59" s="261"/>
      <c r="E59" s="280"/>
      <c r="F59" s="280"/>
      <c r="G59" s="277">
        <f>IF(ISNA(VLOOKUP($B$4,'Capital Equipment'!$A$5:$AA$53,5,FALSE))=TRUE,"Dept not Found",VLOOKUP($B$4,'Capital Equipment'!$A$5:$AA$53,5,FALSE))</f>
        <v>122</v>
      </c>
      <c r="H59" s="277">
        <f>IF(ISNA(VLOOKUP($B$4,'Capital Equipment'!$A$5:$AA$53,13,FALSE))=TRUE,"Dept not Found",VLOOKUP($B$4,'Capital Equipment'!$A$5:$AA$53,13,FALSE))</f>
        <v>121</v>
      </c>
      <c r="I59" s="277">
        <f>IF(ISNA(VLOOKUP($B$4,'Capital Equipment'!$A$5:$AA$53,23,FALSE))=TRUE,"Dept not Found",VLOOKUP($B$4,'Capital Equipment'!$A$5:$AA$53,23,FALSE))</f>
        <v>128</v>
      </c>
      <c r="K59" s="284" t="s">
        <v>328</v>
      </c>
    </row>
    <row r="60" spans="2:11" ht="30" customHeight="1" x14ac:dyDescent="0.25">
      <c r="B60" s="260" t="s">
        <v>361</v>
      </c>
      <c r="C60" s="261"/>
      <c r="D60" s="261"/>
      <c r="E60" s="280"/>
      <c r="F60" s="280"/>
      <c r="G60" s="278">
        <f>IF(ISNA(VLOOKUP($B$4,'Capital Equipment'!$A$5:$AA$53,6,FALSE))=TRUE,"Dept not Found",VLOOKUP($B$4,'Capital Equipment'!$A$5:$AA$53,6,FALSE))</f>
        <v>0.26813186813186812</v>
      </c>
      <c r="H60" s="278">
        <f>IF(ISNA(VLOOKUP($B$4,'Capital Equipment'!$A$5:$AA$53,14,FALSE))=TRUE,"Dept not Found",VLOOKUP($B$4,'Capital Equipment'!$A$5:$AA$53,14,FALSE))</f>
        <v>0.24693877551020407</v>
      </c>
      <c r="I60" s="278">
        <f>IF(ISNA(VLOOKUP($B$4,'Capital Equipment'!$A$5:$AA$53,24,FALSE))=TRUE,"Dept not Found",VLOOKUP($B$4,'Capital Equipment'!$A$5:$AA$53,24,FALSE))</f>
        <v>0.24710424710424711</v>
      </c>
      <c r="K60" s="284" t="s">
        <v>328</v>
      </c>
    </row>
    <row r="61" spans="2:11" ht="30" customHeight="1" x14ac:dyDescent="0.25">
      <c r="B61" s="260" t="s">
        <v>356</v>
      </c>
      <c r="C61" s="261"/>
      <c r="D61" s="261"/>
      <c r="E61" s="280"/>
      <c r="F61" s="280"/>
      <c r="G61" s="277"/>
      <c r="H61" s="277"/>
      <c r="I61" s="277"/>
      <c r="K61" s="284"/>
    </row>
    <row r="62" spans="2:11" ht="30" customHeight="1" x14ac:dyDescent="0.25">
      <c r="B62" s="260" t="s">
        <v>356</v>
      </c>
      <c r="C62" s="261"/>
      <c r="D62" s="261"/>
      <c r="E62" s="280"/>
      <c r="F62" s="280"/>
      <c r="G62" s="278"/>
      <c r="H62" s="278"/>
      <c r="I62" s="278"/>
      <c r="K62" s="284"/>
    </row>
    <row r="63" spans="2:11" ht="30" customHeight="1" x14ac:dyDescent="0.25">
      <c r="B63" s="260" t="s">
        <v>356</v>
      </c>
      <c r="C63" s="261"/>
      <c r="D63" s="261"/>
      <c r="E63" s="280"/>
      <c r="F63" s="280"/>
      <c r="G63" s="280"/>
      <c r="H63" s="277"/>
      <c r="I63" s="277"/>
      <c r="K63" s="284"/>
    </row>
    <row r="64" spans="2:11" ht="30" hidden="1" customHeight="1" x14ac:dyDescent="0.25">
      <c r="B64" s="260" t="s">
        <v>269</v>
      </c>
      <c r="C64" s="261"/>
      <c r="D64" s="261"/>
      <c r="E64" s="280"/>
      <c r="F64" s="280"/>
      <c r="G64" s="280"/>
      <c r="H64" s="280"/>
      <c r="I64" s="280"/>
    </row>
    <row r="65" spans="2:9" ht="30" hidden="1" customHeight="1" x14ac:dyDescent="0.25">
      <c r="B65" s="260" t="s">
        <v>270</v>
      </c>
      <c r="C65" s="261"/>
      <c r="D65" s="261"/>
      <c r="E65" s="280"/>
      <c r="F65" s="280"/>
      <c r="G65" s="280"/>
      <c r="H65" s="280"/>
      <c r="I65" s="280"/>
    </row>
    <row r="66" spans="2:9" ht="30" hidden="1" customHeight="1" x14ac:dyDescent="0.25">
      <c r="B66" s="260" t="s">
        <v>271</v>
      </c>
      <c r="C66" s="261"/>
      <c r="D66" s="261"/>
      <c r="E66" s="280"/>
      <c r="F66" s="280"/>
      <c r="G66" s="280"/>
      <c r="H66" s="280"/>
      <c r="I66" s="280"/>
    </row>
  </sheetData>
  <sheetProtection selectLockedCells="1"/>
  <mergeCells count="3">
    <mergeCell ref="B1:I2"/>
    <mergeCell ref="B3:I3"/>
    <mergeCell ref="B5:C5"/>
  </mergeCells>
  <conditionalFormatting sqref="D7:I11 B30:D31 B32:C36 B37:D40 B41:C41 F42 H42:I42 B42:D44 B45:C45 B46:E47 B48:D54 B64:I66 B55:F55 B58:G58 B7:C22 B57:F57 B59:F62 B63:G63 B24:C29">
    <cfRule type="expression" dxfId="119" priority="157">
      <formula>MOD(ROW(),2)=0</formula>
    </cfRule>
  </conditionalFormatting>
  <conditionalFormatting sqref="B7:I12 B30:D31 B32:C36 B37:D40 B41:C41 F42 H42:I42 B42:D44 B45:C45 B46:E47 B48:D54 B64:I66 B55:F55 B58:G58 B13:C22 B57:F57 B59:F62 B63:G63 B24:C29">
    <cfRule type="expression" dxfId="118" priority="156">
      <formula>MOD(ROW(),2)=0</formula>
    </cfRule>
  </conditionalFormatting>
  <conditionalFormatting sqref="D15:I15">
    <cfRule type="expression" dxfId="117" priority="144">
      <formula>MOD(ROW(),2)=0</formula>
    </cfRule>
  </conditionalFormatting>
  <conditionalFormatting sqref="D15:I15">
    <cfRule type="expression" dxfId="116" priority="143">
      <formula>MOD(ROW(),2)=0</formula>
    </cfRule>
  </conditionalFormatting>
  <conditionalFormatting sqref="D17:I17">
    <cfRule type="expression" dxfId="115" priority="142">
      <formula>MOD(ROW(),2)=0</formula>
    </cfRule>
  </conditionalFormatting>
  <conditionalFormatting sqref="D17:I17">
    <cfRule type="expression" dxfId="114" priority="141">
      <formula>MOD(ROW(),2)=0</formula>
    </cfRule>
  </conditionalFormatting>
  <conditionalFormatting sqref="D16:I16">
    <cfRule type="expression" dxfId="113" priority="140">
      <formula>MOD(ROW(),2)=0</formula>
    </cfRule>
  </conditionalFormatting>
  <conditionalFormatting sqref="D16:I16">
    <cfRule type="expression" dxfId="112" priority="139">
      <formula>MOD(ROW(),2)=0</formula>
    </cfRule>
  </conditionalFormatting>
  <conditionalFormatting sqref="D13:I14">
    <cfRule type="expression" dxfId="111" priority="138">
      <formula>MOD(ROW(),2)=0</formula>
    </cfRule>
  </conditionalFormatting>
  <conditionalFormatting sqref="D13:I14">
    <cfRule type="expression" dxfId="110" priority="137">
      <formula>MOD(ROW(),2)=0</formula>
    </cfRule>
  </conditionalFormatting>
  <conditionalFormatting sqref="D20">
    <cfRule type="expression" dxfId="109" priority="136">
      <formula>MOD(ROW(),2)=0</formula>
    </cfRule>
  </conditionalFormatting>
  <conditionalFormatting sqref="D20">
    <cfRule type="expression" dxfId="108" priority="135">
      <formula>MOD(ROW(),2)=0</formula>
    </cfRule>
  </conditionalFormatting>
  <conditionalFormatting sqref="D22">
    <cfRule type="expression" dxfId="107" priority="134">
      <formula>MOD(ROW(),2)=0</formula>
    </cfRule>
  </conditionalFormatting>
  <conditionalFormatting sqref="D22">
    <cfRule type="expression" dxfId="106" priority="133">
      <formula>MOD(ROW(),2)=0</formula>
    </cfRule>
  </conditionalFormatting>
  <conditionalFormatting sqref="D21:I21">
    <cfRule type="expression" dxfId="105" priority="132">
      <formula>MOD(ROW(),2)=0</formula>
    </cfRule>
  </conditionalFormatting>
  <conditionalFormatting sqref="D21:I21">
    <cfRule type="expression" dxfId="104" priority="131">
      <formula>MOD(ROW(),2)=0</formula>
    </cfRule>
  </conditionalFormatting>
  <conditionalFormatting sqref="D18:I19">
    <cfRule type="expression" dxfId="103" priority="130">
      <formula>MOD(ROW(),2)=0</formula>
    </cfRule>
  </conditionalFormatting>
  <conditionalFormatting sqref="D18:I19">
    <cfRule type="expression" dxfId="102" priority="129">
      <formula>MOD(ROW(),2)=0</formula>
    </cfRule>
  </conditionalFormatting>
  <conditionalFormatting sqref="E20:I20">
    <cfRule type="expression" dxfId="101" priority="128">
      <formula>MOD(ROW(),2)=0</formula>
    </cfRule>
  </conditionalFormatting>
  <conditionalFormatting sqref="E20:I20">
    <cfRule type="expression" dxfId="100" priority="127">
      <formula>MOD(ROW(),2)=0</formula>
    </cfRule>
  </conditionalFormatting>
  <conditionalFormatting sqref="E22:I22">
    <cfRule type="expression" dxfId="99" priority="126">
      <formula>MOD(ROW(),2)=0</formula>
    </cfRule>
  </conditionalFormatting>
  <conditionalFormatting sqref="E22:I22">
    <cfRule type="expression" dxfId="98" priority="125">
      <formula>MOD(ROW(),2)=0</formula>
    </cfRule>
  </conditionalFormatting>
  <conditionalFormatting sqref="B23:I23">
    <cfRule type="expression" dxfId="97" priority="118">
      <formula>MOD(ROW(),2)=0</formula>
    </cfRule>
  </conditionalFormatting>
  <conditionalFormatting sqref="B23:I23">
    <cfRule type="expression" dxfId="96" priority="117">
      <formula>MOD(ROW(),2)=0</formula>
    </cfRule>
  </conditionalFormatting>
  <conditionalFormatting sqref="E24:I24">
    <cfRule type="expression" dxfId="95" priority="116">
      <formula>MOD(ROW(),2)=0</formula>
    </cfRule>
  </conditionalFormatting>
  <conditionalFormatting sqref="E24:I24">
    <cfRule type="expression" dxfId="94" priority="115">
      <formula>MOD(ROW(),2)=0</formula>
    </cfRule>
  </conditionalFormatting>
  <conditionalFormatting sqref="E25:I25">
    <cfRule type="expression" dxfId="93" priority="114">
      <formula>MOD(ROW(),2)=0</formula>
    </cfRule>
  </conditionalFormatting>
  <conditionalFormatting sqref="E25:I25">
    <cfRule type="expression" dxfId="92" priority="113">
      <formula>MOD(ROW(),2)=0</formula>
    </cfRule>
  </conditionalFormatting>
  <conditionalFormatting sqref="D26:I26">
    <cfRule type="expression" dxfId="91" priority="112">
      <formula>MOD(ROW(),2)=0</formula>
    </cfRule>
  </conditionalFormatting>
  <conditionalFormatting sqref="D26:I26">
    <cfRule type="expression" dxfId="90" priority="111">
      <formula>MOD(ROW(),2)=0</formula>
    </cfRule>
  </conditionalFormatting>
  <conditionalFormatting sqref="D27:I27">
    <cfRule type="expression" dxfId="89" priority="110">
      <formula>MOD(ROW(),2)=0</formula>
    </cfRule>
  </conditionalFormatting>
  <conditionalFormatting sqref="D27:I27">
    <cfRule type="expression" dxfId="88" priority="109">
      <formula>MOD(ROW(),2)=0</formula>
    </cfRule>
  </conditionalFormatting>
  <conditionalFormatting sqref="E35:I35">
    <cfRule type="expression" dxfId="87" priority="88">
      <formula>MOD(ROW(),2)=0</formula>
    </cfRule>
  </conditionalFormatting>
  <conditionalFormatting sqref="E35:I35">
    <cfRule type="expression" dxfId="86" priority="87">
      <formula>MOD(ROW(),2)=0</formula>
    </cfRule>
  </conditionalFormatting>
  <conditionalFormatting sqref="D28:I28">
    <cfRule type="expression" dxfId="85" priority="106">
      <formula>MOD(ROW(),2)=0</formula>
    </cfRule>
  </conditionalFormatting>
  <conditionalFormatting sqref="D28:I28">
    <cfRule type="expression" dxfId="84" priority="105">
      <formula>MOD(ROW(),2)=0</formula>
    </cfRule>
  </conditionalFormatting>
  <conditionalFormatting sqref="D29:I29">
    <cfRule type="expression" dxfId="83" priority="104">
      <formula>MOD(ROW(),2)=0</formula>
    </cfRule>
  </conditionalFormatting>
  <conditionalFormatting sqref="D29:I29">
    <cfRule type="expression" dxfId="82" priority="103">
      <formula>MOD(ROW(),2)=0</formula>
    </cfRule>
  </conditionalFormatting>
  <conditionalFormatting sqref="E30:I30">
    <cfRule type="expression" dxfId="81" priority="102">
      <formula>MOD(ROW(),2)=0</formula>
    </cfRule>
  </conditionalFormatting>
  <conditionalFormatting sqref="E30:I30">
    <cfRule type="expression" dxfId="80" priority="101">
      <formula>MOD(ROW(),2)=0</formula>
    </cfRule>
  </conditionalFormatting>
  <conditionalFormatting sqref="E31:I31">
    <cfRule type="expression" dxfId="79" priority="98">
      <formula>MOD(ROW(),2)=0</formula>
    </cfRule>
  </conditionalFormatting>
  <conditionalFormatting sqref="E31:I31">
    <cfRule type="expression" dxfId="78" priority="97">
      <formula>MOD(ROW(),2)=0</formula>
    </cfRule>
  </conditionalFormatting>
  <conditionalFormatting sqref="D32:I32">
    <cfRule type="expression" dxfId="77" priority="96">
      <formula>MOD(ROW(),2)=0</formula>
    </cfRule>
  </conditionalFormatting>
  <conditionalFormatting sqref="D32:I32">
    <cfRule type="expression" dxfId="76" priority="95">
      <formula>MOD(ROW(),2)=0</formula>
    </cfRule>
  </conditionalFormatting>
  <conditionalFormatting sqref="D33:I33">
    <cfRule type="expression" dxfId="75" priority="94">
      <formula>MOD(ROW(),2)=0</formula>
    </cfRule>
  </conditionalFormatting>
  <conditionalFormatting sqref="D33:I33">
    <cfRule type="expression" dxfId="74" priority="93">
      <formula>MOD(ROW(),2)=0</formula>
    </cfRule>
  </conditionalFormatting>
  <conditionalFormatting sqref="D34:I34">
    <cfRule type="expression" dxfId="73" priority="90">
      <formula>MOD(ROW(),2)=0</formula>
    </cfRule>
  </conditionalFormatting>
  <conditionalFormatting sqref="D34:I34">
    <cfRule type="expression" dxfId="72" priority="89">
      <formula>MOD(ROW(),2)=0</formula>
    </cfRule>
  </conditionalFormatting>
  <conditionalFormatting sqref="E36:I36">
    <cfRule type="expression" dxfId="71" priority="84">
      <formula>MOD(ROW(),2)=0</formula>
    </cfRule>
  </conditionalFormatting>
  <conditionalFormatting sqref="E36:I36">
    <cfRule type="expression" dxfId="70" priority="83">
      <formula>MOD(ROW(),2)=0</formula>
    </cfRule>
  </conditionalFormatting>
  <conditionalFormatting sqref="D36">
    <cfRule type="expression" dxfId="69" priority="82">
      <formula>MOD(ROW(),2)=0</formula>
    </cfRule>
  </conditionalFormatting>
  <conditionalFormatting sqref="D36">
    <cfRule type="expression" dxfId="68" priority="81">
      <formula>MOD(ROW(),2)=0</formula>
    </cfRule>
  </conditionalFormatting>
  <conditionalFormatting sqref="E37:I37">
    <cfRule type="expression" dxfId="67" priority="80">
      <formula>MOD(ROW(),2)=0</formula>
    </cfRule>
  </conditionalFormatting>
  <conditionalFormatting sqref="E37:I37">
    <cfRule type="expression" dxfId="66" priority="79">
      <formula>MOD(ROW(),2)=0</formula>
    </cfRule>
  </conditionalFormatting>
  <conditionalFormatting sqref="E38:I38">
    <cfRule type="expression" dxfId="65" priority="78">
      <formula>MOD(ROW(),2)=0</formula>
    </cfRule>
  </conditionalFormatting>
  <conditionalFormatting sqref="E38:I38">
    <cfRule type="expression" dxfId="64" priority="77">
      <formula>MOD(ROW(),2)=0</formula>
    </cfRule>
  </conditionalFormatting>
  <conditionalFormatting sqref="E39:I39">
    <cfRule type="expression" dxfId="63" priority="76">
      <formula>MOD(ROW(),2)=0</formula>
    </cfRule>
  </conditionalFormatting>
  <conditionalFormatting sqref="E39:I39">
    <cfRule type="expression" dxfId="62" priority="75">
      <formula>MOD(ROW(),2)=0</formula>
    </cfRule>
  </conditionalFormatting>
  <conditionalFormatting sqref="E40:I40">
    <cfRule type="expression" dxfId="61" priority="74">
      <formula>MOD(ROW(),2)=0</formula>
    </cfRule>
  </conditionalFormatting>
  <conditionalFormatting sqref="E40:I40">
    <cfRule type="expression" dxfId="60" priority="73">
      <formula>MOD(ROW(),2)=0</formula>
    </cfRule>
  </conditionalFormatting>
  <conditionalFormatting sqref="E41:I41">
    <cfRule type="expression" dxfId="59" priority="70">
      <formula>MOD(ROW(),2)=0</formula>
    </cfRule>
  </conditionalFormatting>
  <conditionalFormatting sqref="E41:I41">
    <cfRule type="expression" dxfId="58" priority="69">
      <formula>MOD(ROW(),2)=0</formula>
    </cfRule>
  </conditionalFormatting>
  <conditionalFormatting sqref="D41">
    <cfRule type="expression" dxfId="57" priority="68">
      <formula>MOD(ROW(),2)=0</formula>
    </cfRule>
  </conditionalFormatting>
  <conditionalFormatting sqref="D41">
    <cfRule type="expression" dxfId="56" priority="67">
      <formula>MOD(ROW(),2)=0</formula>
    </cfRule>
  </conditionalFormatting>
  <conditionalFormatting sqref="E42">
    <cfRule type="expression" dxfId="55" priority="66">
      <formula>MOD(ROW(),2)=0</formula>
    </cfRule>
  </conditionalFormatting>
  <conditionalFormatting sqref="E42">
    <cfRule type="expression" dxfId="54" priority="65">
      <formula>MOD(ROW(),2)=0</formula>
    </cfRule>
  </conditionalFormatting>
  <conditionalFormatting sqref="G42:I42">
    <cfRule type="expression" dxfId="53" priority="64">
      <formula>MOD(ROW(),2)=0</formula>
    </cfRule>
  </conditionalFormatting>
  <conditionalFormatting sqref="G42:I42">
    <cfRule type="expression" dxfId="52" priority="63">
      <formula>MOD(ROW(),2)=0</formula>
    </cfRule>
  </conditionalFormatting>
  <conditionalFormatting sqref="F43 H43:I43">
    <cfRule type="expression" dxfId="51" priority="62">
      <formula>MOD(ROW(),2)=0</formula>
    </cfRule>
  </conditionalFormatting>
  <conditionalFormatting sqref="F43 H43:I43">
    <cfRule type="expression" dxfId="50" priority="61">
      <formula>MOD(ROW(),2)=0</formula>
    </cfRule>
  </conditionalFormatting>
  <conditionalFormatting sqref="E43">
    <cfRule type="expression" dxfId="49" priority="60">
      <formula>MOD(ROW(),2)=0</formula>
    </cfRule>
  </conditionalFormatting>
  <conditionalFormatting sqref="E43">
    <cfRule type="expression" dxfId="48" priority="59">
      <formula>MOD(ROW(),2)=0</formula>
    </cfRule>
  </conditionalFormatting>
  <conditionalFormatting sqref="G43:I43">
    <cfRule type="expression" dxfId="47" priority="58">
      <formula>MOD(ROW(),2)=0</formula>
    </cfRule>
  </conditionalFormatting>
  <conditionalFormatting sqref="G43:I43">
    <cfRule type="expression" dxfId="46" priority="57">
      <formula>MOD(ROW(),2)=0</formula>
    </cfRule>
  </conditionalFormatting>
  <conditionalFormatting sqref="E44:I44">
    <cfRule type="expression" dxfId="45" priority="50">
      <formula>MOD(ROW(),2)=0</formula>
    </cfRule>
  </conditionalFormatting>
  <conditionalFormatting sqref="E44:I44">
    <cfRule type="expression" dxfId="44" priority="49">
      <formula>MOD(ROW(),2)=0</formula>
    </cfRule>
  </conditionalFormatting>
  <conditionalFormatting sqref="D45:I45">
    <cfRule type="expression" dxfId="43" priority="48">
      <formula>MOD(ROW(),2)=0</formula>
    </cfRule>
  </conditionalFormatting>
  <conditionalFormatting sqref="D45:I45">
    <cfRule type="expression" dxfId="42" priority="47">
      <formula>MOD(ROW(),2)=0</formula>
    </cfRule>
  </conditionalFormatting>
  <conditionalFormatting sqref="F46:I46">
    <cfRule type="expression" dxfId="41" priority="46">
      <formula>MOD(ROW(),2)=0</formula>
    </cfRule>
  </conditionalFormatting>
  <conditionalFormatting sqref="F46:I46">
    <cfRule type="expression" dxfId="40" priority="45">
      <formula>MOD(ROW(),2)=0</formula>
    </cfRule>
  </conditionalFormatting>
  <conditionalFormatting sqref="F47:I47">
    <cfRule type="expression" dxfId="39" priority="44">
      <formula>MOD(ROW(),2)=0</formula>
    </cfRule>
  </conditionalFormatting>
  <conditionalFormatting sqref="F47:I47">
    <cfRule type="expression" dxfId="38" priority="43">
      <formula>MOD(ROW(),2)=0</formula>
    </cfRule>
  </conditionalFormatting>
  <conditionalFormatting sqref="E48:I49">
    <cfRule type="expression" dxfId="37" priority="42">
      <formula>MOD(ROW(),2)=0</formula>
    </cfRule>
  </conditionalFormatting>
  <conditionalFormatting sqref="E48:I49">
    <cfRule type="expression" dxfId="36" priority="41">
      <formula>MOD(ROW(),2)=0</formula>
    </cfRule>
  </conditionalFormatting>
  <conditionalFormatting sqref="E50:I50">
    <cfRule type="expression" dxfId="35" priority="40">
      <formula>MOD(ROW(),2)=0</formula>
    </cfRule>
  </conditionalFormatting>
  <conditionalFormatting sqref="E50:I50">
    <cfRule type="expression" dxfId="34" priority="39">
      <formula>MOD(ROW(),2)=0</formula>
    </cfRule>
  </conditionalFormatting>
  <conditionalFormatting sqref="E51:I51">
    <cfRule type="expression" dxfId="33" priority="38">
      <formula>MOD(ROW(),2)=0</formula>
    </cfRule>
  </conditionalFormatting>
  <conditionalFormatting sqref="E51:I51">
    <cfRule type="expression" dxfId="32" priority="37">
      <formula>MOD(ROW(),2)=0</formula>
    </cfRule>
  </conditionalFormatting>
  <conditionalFormatting sqref="E52:I52">
    <cfRule type="expression" dxfId="31" priority="36">
      <formula>MOD(ROW(),2)=0</formula>
    </cfRule>
  </conditionalFormatting>
  <conditionalFormatting sqref="E52:I52">
    <cfRule type="expression" dxfId="30" priority="35">
      <formula>MOD(ROW(),2)=0</formula>
    </cfRule>
  </conditionalFormatting>
  <conditionalFormatting sqref="E54:I54">
    <cfRule type="expression" dxfId="29" priority="30">
      <formula>MOD(ROW(),2)=0</formula>
    </cfRule>
  </conditionalFormatting>
  <conditionalFormatting sqref="E54:I54">
    <cfRule type="expression" dxfId="28" priority="29">
      <formula>MOD(ROW(),2)=0</formula>
    </cfRule>
  </conditionalFormatting>
  <conditionalFormatting sqref="E53:I53">
    <cfRule type="expression" dxfId="27" priority="32">
      <formula>MOD(ROW(),2)=0</formula>
    </cfRule>
  </conditionalFormatting>
  <conditionalFormatting sqref="E53:I53">
    <cfRule type="expression" dxfId="26" priority="31">
      <formula>MOD(ROW(),2)=0</formula>
    </cfRule>
  </conditionalFormatting>
  <conditionalFormatting sqref="H63:I63">
    <cfRule type="expression" dxfId="25" priority="14">
      <formula>MOD(ROW(),2)=0</formula>
    </cfRule>
  </conditionalFormatting>
  <conditionalFormatting sqref="H63:I63">
    <cfRule type="expression" dxfId="24" priority="13">
      <formula>MOD(ROW(),2)=0</formula>
    </cfRule>
  </conditionalFormatting>
  <conditionalFormatting sqref="G55:I55">
    <cfRule type="expression" dxfId="23" priority="28">
      <formula>MOD(ROW(),2)=0</formula>
    </cfRule>
  </conditionalFormatting>
  <conditionalFormatting sqref="G55:I55">
    <cfRule type="expression" dxfId="22" priority="27">
      <formula>MOD(ROW(),2)=0</formula>
    </cfRule>
  </conditionalFormatting>
  <conditionalFormatting sqref="G57">
    <cfRule type="expression" dxfId="21" priority="26">
      <formula>MOD(ROW(),2)=0</formula>
    </cfRule>
  </conditionalFormatting>
  <conditionalFormatting sqref="G57">
    <cfRule type="expression" dxfId="20" priority="25">
      <formula>MOD(ROW(),2)=0</formula>
    </cfRule>
  </conditionalFormatting>
  <conditionalFormatting sqref="H58:I58">
    <cfRule type="expression" dxfId="19" priority="24">
      <formula>MOD(ROW(),2)=0</formula>
    </cfRule>
  </conditionalFormatting>
  <conditionalFormatting sqref="H58:I58">
    <cfRule type="expression" dxfId="18" priority="23">
      <formula>MOD(ROW(),2)=0</formula>
    </cfRule>
  </conditionalFormatting>
  <conditionalFormatting sqref="G59:I59">
    <cfRule type="expression" dxfId="17" priority="22">
      <formula>MOD(ROW(),2)=0</formula>
    </cfRule>
  </conditionalFormatting>
  <conditionalFormatting sqref="G59:I59">
    <cfRule type="expression" dxfId="16" priority="21">
      <formula>MOD(ROW(),2)=0</formula>
    </cfRule>
  </conditionalFormatting>
  <conditionalFormatting sqref="G60:I60">
    <cfRule type="expression" dxfId="15" priority="20">
      <formula>MOD(ROW(),2)=0</formula>
    </cfRule>
  </conditionalFormatting>
  <conditionalFormatting sqref="G60:I60">
    <cfRule type="expression" dxfId="14" priority="19">
      <formula>MOD(ROW(),2)=0</formula>
    </cfRule>
  </conditionalFormatting>
  <conditionalFormatting sqref="G61:I61">
    <cfRule type="expression" dxfId="13" priority="18">
      <formula>MOD(ROW(),2)=0</formula>
    </cfRule>
  </conditionalFormatting>
  <conditionalFormatting sqref="G61:I61">
    <cfRule type="expression" dxfId="12" priority="17">
      <formula>MOD(ROW(),2)=0</formula>
    </cfRule>
  </conditionalFormatting>
  <conditionalFormatting sqref="G62:I62">
    <cfRule type="expression" dxfId="11" priority="16">
      <formula>MOD(ROW(),2)=0</formula>
    </cfRule>
  </conditionalFormatting>
  <conditionalFormatting sqref="G62:I62">
    <cfRule type="expression" dxfId="10" priority="15">
      <formula>MOD(ROW(),2)=0</formula>
    </cfRule>
  </conditionalFormatting>
  <conditionalFormatting sqref="H56:I56">
    <cfRule type="expression" dxfId="9" priority="9">
      <formula>MOD(ROW(),2)=0</formula>
    </cfRule>
  </conditionalFormatting>
  <conditionalFormatting sqref="B56:G56">
    <cfRule type="expression" dxfId="8" priority="12">
      <formula>MOD(ROW(),2)=0</formula>
    </cfRule>
  </conditionalFormatting>
  <conditionalFormatting sqref="B56:G56">
    <cfRule type="expression" dxfId="7" priority="11">
      <formula>MOD(ROW(),2)=0</formula>
    </cfRule>
  </conditionalFormatting>
  <conditionalFormatting sqref="H56:I56">
    <cfRule type="expression" dxfId="6" priority="10">
      <formula>MOD(ROW(),2)=0</formula>
    </cfRule>
  </conditionalFormatting>
  <conditionalFormatting sqref="H57:I57">
    <cfRule type="expression" dxfId="5" priority="6">
      <formula>MOD(ROW(),2)=0</formula>
    </cfRule>
  </conditionalFormatting>
  <conditionalFormatting sqref="H57:I57">
    <cfRule type="expression" dxfId="4" priority="5">
      <formula>MOD(ROW(),2)=0</formula>
    </cfRule>
  </conditionalFormatting>
  <conditionalFormatting sqref="D24">
    <cfRule type="expression" dxfId="3" priority="4">
      <formula>MOD(ROW(),2)=0</formula>
    </cfRule>
  </conditionalFormatting>
  <conditionalFormatting sqref="D24">
    <cfRule type="expression" dxfId="2" priority="3">
      <formula>MOD(ROW(),2)=0</formula>
    </cfRule>
  </conditionalFormatting>
  <conditionalFormatting sqref="D25">
    <cfRule type="expression" dxfId="1" priority="2">
      <formula>MOD(ROW(),2)=0</formula>
    </cfRule>
  </conditionalFormatting>
  <conditionalFormatting sqref="D25">
    <cfRule type="expression" dxfId="0" priority="1">
      <formula>MOD(ROW(),2)=0</formula>
    </cfRule>
  </conditionalFormatting>
  <dataValidations count="6">
    <dataValidation allowBlank="1" showInputMessage="1" showErrorMessage="1" prompt="Enter Metric Name in this column under this heading" sqref="B6"/>
    <dataValidation allowBlank="1" showInputMessage="1" showErrorMessage="1" prompt="Year is automatically updated in this cell. Enter figures for this year in this column under this heading" sqref="C6:I6"/>
    <dataValidation allowBlank="1" showInputMessage="1" showErrorMessage="1" prompt="Tip is in this cell" sqref="B3:I4"/>
    <dataValidation allowBlank="1" showInputMessage="1" showErrorMessage="1" prompt="Navigation link to Financial Report worksheet. Enter details in table below" sqref="B5:C5"/>
    <dataValidation allowBlank="1" showInputMessage="1" showErrorMessage="1" prompt="Title of this worksheet is in this cell and tip in cell below" sqref="B1:I2"/>
    <dataValidation allowBlank="1" showInputMessage="1" showErrorMessage="1" prompt="Enter financial data of up to 25 key metrics and seven years in table starting in cell B5 in this worksheet. Select cell B4 to navigate to Financial Report worksheet" sqref="A1"/>
  </dataValidations>
  <hyperlinks>
    <hyperlink ref="B5" location="'Financial Report'!A1" tooltip="Select to navigate to Financial Report worksheet " display="Tap to view Financial Report"/>
  </hyperlinks>
  <printOptions horizontalCentered="1"/>
  <pageMargins left="0.25" right="0.25" top="0.75" bottom="0.75" header="0.3" footer="0.3"/>
  <pageSetup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workbookViewId="0">
      <pane xSplit="1" ySplit="14" topLeftCell="B36" activePane="bottomRight" state="frozen"/>
      <selection activeCell="C8" sqref="C8"/>
      <selection pane="topRight" activeCell="C8" sqref="C8"/>
      <selection pane="bottomLeft" activeCell="C8" sqref="C8"/>
      <selection pane="bottomRight" activeCell="C8" sqref="C8"/>
    </sheetView>
  </sheetViews>
  <sheetFormatPr defaultRowHeight="14.25" x14ac:dyDescent="0.25"/>
  <cols>
    <col min="1" max="1" width="9.28515625" style="238" bestFit="1" customWidth="1"/>
    <col min="2" max="2" width="60.28515625" style="238" customWidth="1"/>
    <col min="3" max="7" width="10.7109375" style="238" bestFit="1" customWidth="1"/>
    <col min="8" max="9" width="9.28515625" style="238" bestFit="1" customWidth="1"/>
    <col min="10" max="16384" width="9.140625" style="238"/>
  </cols>
  <sheetData>
    <row r="1" spans="1:9" s="265" customFormat="1" ht="34.5" customHeight="1" x14ac:dyDescent="0.25">
      <c r="A1" s="271" t="s">
        <v>261</v>
      </c>
    </row>
    <row r="2" spans="1:9" s="265" customFormat="1" x14ac:dyDescent="0.2">
      <c r="D2" s="253" t="s">
        <v>262</v>
      </c>
    </row>
    <row r="3" spans="1:9" ht="19.5" customHeight="1" x14ac:dyDescent="0.2">
      <c r="B3" s="238" t="s">
        <v>263</v>
      </c>
      <c r="C3" s="272">
        <f>SelectedYear</f>
        <v>2019</v>
      </c>
      <c r="D3" s="238">
        <f ca="1">MATCH(C3,lstYears,0)+1</f>
        <v>8</v>
      </c>
    </row>
    <row r="4" spans="1:9" ht="19.5" customHeight="1" x14ac:dyDescent="0.2">
      <c r="B4" s="238" t="s">
        <v>264</v>
      </c>
      <c r="C4" s="272">
        <f>C3-1</f>
        <v>2018</v>
      </c>
      <c r="D4" s="238">
        <f ca="1">MATCH(C4,lstYears,0)+1</f>
        <v>7</v>
      </c>
    </row>
    <row r="5" spans="1:9" ht="19.5" customHeight="1" x14ac:dyDescent="0.25"/>
    <row r="6" spans="1:9" ht="19.5" customHeight="1" thickBot="1" x14ac:dyDescent="0.25">
      <c r="B6" s="238" t="s">
        <v>262</v>
      </c>
      <c r="C6" s="273">
        <f ca="1">MATCH(C7,lstYears,0)+1</f>
        <v>4</v>
      </c>
      <c r="D6" s="273">
        <f ca="1">MATCH(D7,lstYears,0)+1</f>
        <v>5</v>
      </c>
      <c r="E6" s="273">
        <f ca="1">MATCH(E7,lstYears,0)+1</f>
        <v>6</v>
      </c>
      <c r="F6" s="273">
        <f ca="1">MATCH(F7,lstYears,0)+1</f>
        <v>7</v>
      </c>
      <c r="G6" s="273">
        <f ca="1">MATCH(G7,lstYears,0)+1</f>
        <v>8</v>
      </c>
      <c r="I6" s="238">
        <f ca="1">COUNT(C6:G6)</f>
        <v>5</v>
      </c>
    </row>
    <row r="7" spans="1:9" ht="18.75" thickBot="1" x14ac:dyDescent="0.3">
      <c r="B7" s="274" t="s">
        <v>265</v>
      </c>
      <c r="C7" s="275">
        <f>D7-1</f>
        <v>2015</v>
      </c>
      <c r="D7" s="275">
        <f>E7-1</f>
        <v>2016</v>
      </c>
      <c r="E7" s="275">
        <f>F7-1</f>
        <v>2017</v>
      </c>
      <c r="F7" s="275">
        <f>G7-1</f>
        <v>2018</v>
      </c>
      <c r="G7" s="275">
        <f>C3</f>
        <v>2019</v>
      </c>
      <c r="H7" s="274"/>
    </row>
    <row r="8" spans="1:9" ht="19.5" customHeight="1" x14ac:dyDescent="0.2">
      <c r="A8" s="238">
        <f>MATCH(B8,'Financial Data Input'!$B$7:$B$66,0)</f>
        <v>8</v>
      </c>
      <c r="B8" s="238" t="str">
        <f>IF('Key Metric Settings'!C5="","",'Key Metric Settings'!C5)</f>
        <v>Total Transfers $</v>
      </c>
      <c r="C8" s="238">
        <f ca="1">IFERROR(INDEX('Financial Data Input'!$B$7:$I$66,$A8,C$6),NA())</f>
        <v>1967.9167199999999</v>
      </c>
      <c r="D8" s="238">
        <f ca="1">IFERROR(INDEX('Financial Data Input'!$B$7:$I$66,$A8,D$6),NA())</f>
        <v>1182.6903300000001</v>
      </c>
      <c r="E8" s="238">
        <f ca="1">IFERROR(INDEX('Financial Data Input'!$B$7:$I$66,$A8,E$6),NA())</f>
        <v>1588.52007</v>
      </c>
      <c r="F8" s="238">
        <f ca="1">IFERROR(INDEX('Financial Data Input'!$B$7:$I$66,$A8,F$6),NA())</f>
        <v>1980.36726</v>
      </c>
      <c r="G8" s="238">
        <f ca="1">IFERROR(INDEX('Financial Data Input'!$B$7:$I$66,$A8,G$6),NA())</f>
        <v>1587.9008400000014</v>
      </c>
      <c r="H8" s="276">
        <f ca="1">IFERROR(G8/F8-1,"")</f>
        <v>-0.19817860450793279</v>
      </c>
    </row>
    <row r="9" spans="1:9" ht="19.5" customHeight="1" x14ac:dyDescent="0.2">
      <c r="A9" s="238">
        <f>MATCH(B9,'Financial Data Input'!$B$7:$B$66,0)</f>
        <v>9</v>
      </c>
      <c r="B9" s="238" t="str">
        <f>IF('Key Metric Settings'!C6="","",'Key Metric Settings'!C6)</f>
        <v>Retro Salary Transfers &gt; 90 Days $</v>
      </c>
      <c r="C9" s="238">
        <f ca="1">IFERROR(INDEX('Financial Data Input'!$B$7:$I$66,$A9,C$6),NA())</f>
        <v>757.14023000000009</v>
      </c>
      <c r="D9" s="238">
        <f ca="1">IFERROR(INDEX('Financial Data Input'!$B$7:$I$66,$A9,D$6),NA())</f>
        <v>245.00779999999997</v>
      </c>
      <c r="E9" s="238">
        <f ca="1">IFERROR(INDEX('Financial Data Input'!$B$7:$I$66,$A9,E$6),NA())</f>
        <v>287.05917999999997</v>
      </c>
      <c r="F9" s="238">
        <f ca="1">IFERROR(INDEX('Financial Data Input'!$B$7:$I$66,$A9,F$6),NA())</f>
        <v>450.14229999999998</v>
      </c>
      <c r="G9" s="238">
        <f ca="1">IFERROR(INDEX('Financial Data Input'!$B$7:$I$66,$A9,G$6),NA())</f>
        <v>363.77817000000005</v>
      </c>
      <c r="H9" s="276">
        <f t="shared" ref="H9:H12" ca="1" si="0">IFERROR(G9/F9-1,"")</f>
        <v>-0.19185961861393597</v>
      </c>
    </row>
    <row r="10" spans="1:9" ht="19.5" customHeight="1" x14ac:dyDescent="0.2">
      <c r="A10" s="238">
        <f>MATCH(B10,'Financial Data Input'!$B$7:$B$66,0)</f>
        <v>22</v>
      </c>
      <c r="B10" s="238" t="str">
        <f>IF('Key Metric Settings'!C7="","",'Key Metric Settings'!C7)</f>
        <v>Deposits $</v>
      </c>
      <c r="C10" s="238">
        <f ca="1">IFERROR(INDEX('Financial Data Input'!$B$7:$I$66,$A10,C$6),NA())</f>
        <v>119.96589</v>
      </c>
      <c r="D10" s="238">
        <f ca="1">IFERROR(INDEX('Financial Data Input'!$B$7:$I$66,$A10,D$6),NA())</f>
        <v>1864.85475</v>
      </c>
      <c r="E10" s="238">
        <f ca="1">IFERROR(INDEX('Financial Data Input'!$B$7:$I$66,$A10,E$6),NA())</f>
        <v>251.803</v>
      </c>
      <c r="F10" s="238">
        <f ca="1">IFERROR(INDEX('Financial Data Input'!$B$7:$I$66,$A10,F$6),NA())</f>
        <v>117.73008</v>
      </c>
      <c r="G10" s="238">
        <f ca="1">IFERROR(INDEX('Financial Data Input'!$B$7:$I$66,$A10,G$6),NA())</f>
        <v>46.104099999999995</v>
      </c>
      <c r="H10" s="276">
        <f t="shared" ca="1" si="0"/>
        <v>-0.60839150028607814</v>
      </c>
    </row>
    <row r="11" spans="1:9" ht="19.5" customHeight="1" x14ac:dyDescent="0.2">
      <c r="A11" s="238">
        <f>MATCH(B11,'Financial Data Input'!$B$7:$B$66,0)</f>
        <v>39</v>
      </c>
      <c r="B11" s="238" t="str">
        <f>IF('Key Metric Settings'!C8="","",'Key Metric Settings'!C8)</f>
        <v>Gift Fund Balance $</v>
      </c>
      <c r="C11" s="238">
        <f ca="1">IFERROR(INDEX('Financial Data Input'!$B$7:$I$66,$A11,C$6),NA())</f>
        <v>3347.6185099999998</v>
      </c>
      <c r="D11" s="238">
        <f ca="1">IFERROR(INDEX('Financial Data Input'!$B$7:$I$66,$A11,D$6),NA())</f>
        <v>4079.114</v>
      </c>
      <c r="E11" s="238">
        <f ca="1">IFERROR(INDEX('Financial Data Input'!$B$7:$I$66,$A11,E$6),NA())</f>
        <v>4201.4812699999993</v>
      </c>
      <c r="F11" s="238">
        <f ca="1">IFERROR(INDEX('Financial Data Input'!$B$7:$I$66,$A11,F$6),NA())</f>
        <v>4325.7166299999999</v>
      </c>
      <c r="G11" s="238">
        <f ca="1">IFERROR(INDEX('Financial Data Input'!$B$7:$I$66,$A11,G$6),NA())</f>
        <v>4280.3485799999989</v>
      </c>
      <c r="H11" s="276">
        <f t="shared" ca="1" si="0"/>
        <v>-1.0487984738843381E-2</v>
      </c>
    </row>
    <row r="12" spans="1:9" ht="19.5" customHeight="1" x14ac:dyDescent="0.2">
      <c r="A12" s="238">
        <f>MATCH(B12,'Financial Data Input'!$B$7:$B$66,0)</f>
        <v>49</v>
      </c>
      <c r="B12" s="238" t="str">
        <f>IF('Key Metric Settings'!C9="","",'Key Metric Settings'!C9)</f>
        <v>Total Assets #</v>
      </c>
      <c r="C12" s="238">
        <f ca="1">IFERROR(INDEX('Financial Data Input'!$B$7:$I$66,$A12,C$6),NA())</f>
        <v>0</v>
      </c>
      <c r="D12" s="238">
        <f ca="1">IFERROR(INDEX('Financial Data Input'!$B$7:$I$66,$A12,D$6),NA())</f>
        <v>0</v>
      </c>
      <c r="E12" s="238">
        <f ca="1">IFERROR(INDEX('Financial Data Input'!$B$7:$I$66,$A12,E$6),NA())</f>
        <v>455</v>
      </c>
      <c r="F12" s="238">
        <f ca="1">IFERROR(INDEX('Financial Data Input'!$B$7:$I$66,$A12,F$6),NA())</f>
        <v>490</v>
      </c>
      <c r="G12" s="238">
        <f ca="1">IFERROR(INDEX('Financial Data Input'!$B$7:$I$66,$A12,G$6),NA())</f>
        <v>518</v>
      </c>
      <c r="H12" s="276">
        <f t="shared" ca="1" si="0"/>
        <v>5.7142857142857162E-2</v>
      </c>
    </row>
    <row r="13" spans="1:9" ht="15" thickBot="1" x14ac:dyDescent="0.3"/>
    <row r="14" spans="1:9" ht="18.75" thickBot="1" x14ac:dyDescent="0.3">
      <c r="B14" s="274" t="s">
        <v>282</v>
      </c>
      <c r="C14" s="274"/>
      <c r="D14" s="274"/>
      <c r="E14" s="274"/>
      <c r="F14" s="274"/>
      <c r="G14" s="274"/>
      <c r="H14" s="274"/>
    </row>
    <row r="15" spans="1:9" ht="19.5" customHeight="1" x14ac:dyDescent="0.25">
      <c r="A15" s="238">
        <f>ROWS($B$15:B15)</f>
        <v>1</v>
      </c>
      <c r="B15" s="238" t="str">
        <f>IF('Financial Data Input'!B7=0,"",'Financial Data Input'!B7)</f>
        <v>Open PCards</v>
      </c>
      <c r="C15" s="238">
        <f ca="1">IF(B15="",NA(),IFERROR(INDEX('Financial Data Input'!$B$7:$I$66,$A15,C$6),NA()))</f>
        <v>30</v>
      </c>
      <c r="D15" s="238">
        <f ca="1">IF(B15="",NA(),IFERROR(INDEX('Financial Data Input'!$B$7:$I$66,$A15,D$6),NA()))</f>
        <v>30</v>
      </c>
      <c r="E15" s="238">
        <f ca="1">IF(B15="",NA(),IFERROR(INDEX('Financial Data Input'!$B$7:$I$66,$A15,E$6),NA()))</f>
        <v>29</v>
      </c>
      <c r="F15" s="238">
        <f ca="1">IF(B15="",NA(),IFERROR(INDEX('Financial Data Input'!$B$7:$I$66,$A15,F$6),NA()))</f>
        <v>24</v>
      </c>
      <c r="G15" s="238">
        <f ca="1">IF(B15="",NA(),IFERROR(INDEX('Financial Data Input'!$B$7:$I$66,$A15,G$6),NA()))</f>
        <v>25</v>
      </c>
    </row>
    <row r="16" spans="1:9" ht="19.5" customHeight="1" x14ac:dyDescent="0.25">
      <c r="A16" s="238">
        <f>ROWS($B$15:B16)</f>
        <v>2</v>
      </c>
      <c r="B16" s="238" t="str">
        <f>IF('Financial Data Input'!B8=0,"",'Financial Data Input'!B8)</f>
        <v>PCards Open for 6 Months</v>
      </c>
      <c r="C16" s="238">
        <f ca="1">IF(B16="",NA(),IFERROR(INDEX('Financial Data Input'!$B$7:$I$66,$A16,C$6),NA()))</f>
        <v>27</v>
      </c>
      <c r="D16" s="238">
        <f ca="1">IF(B16="",NA(),IFERROR(INDEX('Financial Data Input'!$B$7:$I$66,$A16,D$6),NA()))</f>
        <v>28</v>
      </c>
      <c r="E16" s="238">
        <f ca="1">IF(B16="",NA(),IFERROR(INDEX('Financial Data Input'!$B$7:$I$66,$A16,E$6),NA()))</f>
        <v>26</v>
      </c>
      <c r="F16" s="238">
        <f ca="1">IF(B16="",NA(),IFERROR(INDEX('Financial Data Input'!$B$7:$I$66,$A16,F$6),NA()))</f>
        <v>21</v>
      </c>
      <c r="G16" s="238">
        <f ca="1">IF(B16="",NA(),IFERROR(INDEX('Financial Data Input'!$B$7:$I$66,$A16,G$6),NA()))</f>
        <v>21</v>
      </c>
    </row>
    <row r="17" spans="1:7" ht="19.5" customHeight="1" x14ac:dyDescent="0.25">
      <c r="A17" s="238">
        <f>ROWS($B$15:B17)</f>
        <v>3</v>
      </c>
      <c r="B17" s="238" t="str">
        <f>IF('Financial Data Input'!B9=0,"",'Financial Data Input'!B9)</f>
        <v>Underutilized PCards #</v>
      </c>
      <c r="C17" s="238">
        <f ca="1">IF(B17="",NA(),IFERROR(INDEX('Financial Data Input'!$B$7:$I$66,$A17,C$6),NA()))</f>
        <v>1</v>
      </c>
      <c r="D17" s="238">
        <f ca="1">IF(B17="",NA(),IFERROR(INDEX('Financial Data Input'!$B$7:$I$66,$A17,D$6),NA()))</f>
        <v>2</v>
      </c>
      <c r="E17" s="238">
        <f ca="1">IF(B17="",NA(),IFERROR(INDEX('Financial Data Input'!$B$7:$I$66,$A17,E$6),NA()))</f>
        <v>1</v>
      </c>
      <c r="F17" s="238">
        <f ca="1">IF(B17="",NA(),IFERROR(INDEX('Financial Data Input'!$B$7:$I$66,$A17,F$6),NA()))</f>
        <v>1</v>
      </c>
      <c r="G17" s="238">
        <f ca="1">IF(B17="",NA(),IFERROR(INDEX('Financial Data Input'!$B$7:$I$66,$A17,G$6),NA()))</f>
        <v>2</v>
      </c>
    </row>
    <row r="18" spans="1:7" ht="19.5" customHeight="1" x14ac:dyDescent="0.25">
      <c r="A18" s="238">
        <f>ROWS($B$15:B18)</f>
        <v>4</v>
      </c>
      <c r="B18" s="238" t="str">
        <f>IF('Financial Data Input'!B10=0,"",'Financial Data Input'!B10)</f>
        <v>Underutilized PCards %</v>
      </c>
      <c r="C18" s="238">
        <f ca="1">IF(B18="",NA(),IFERROR(INDEX('Financial Data Input'!$B$7:$I$66,$A18,C$6),NA()))</f>
        <v>3.7037037037037035E-2</v>
      </c>
      <c r="D18" s="238">
        <f ca="1">IF(B18="",NA(),IFERROR(INDEX('Financial Data Input'!$B$7:$I$66,$A18,D$6),NA()))</f>
        <v>7.1428571428571425E-2</v>
      </c>
      <c r="E18" s="238">
        <f ca="1">IF(B18="",NA(),IFERROR(INDEX('Financial Data Input'!$B$7:$I$66,$A18,E$6),NA()))</f>
        <v>3.8461538461538464E-2</v>
      </c>
      <c r="F18" s="238">
        <f ca="1">IF(B18="",NA(),IFERROR(INDEX('Financial Data Input'!$B$7:$I$66,$A18,F$6),NA()))</f>
        <v>4.7619047619047616E-2</v>
      </c>
      <c r="G18" s="238">
        <f ca="1">IF(B18="",NA(),IFERROR(INDEX('Financial Data Input'!$B$7:$I$66,$A18,G$6),NA()))</f>
        <v>9.5238095238095233E-2</v>
      </c>
    </row>
    <row r="19" spans="1:7" ht="19.5" customHeight="1" x14ac:dyDescent="0.25">
      <c r="A19" s="238">
        <f>ROWS($B$15:B19)</f>
        <v>5</v>
      </c>
      <c r="B19" s="238" t="str">
        <f>IF('Financial Data Input'!B11=0,"",'Financial Data Input'!B11)</f>
        <v>Unused Pcards #</v>
      </c>
      <c r="C19" s="238">
        <f ca="1">IF(B19="",NA(),IFERROR(INDEX('Financial Data Input'!$B$7:$I$66,$A19,C$6),NA()))</f>
        <v>1</v>
      </c>
      <c r="D19" s="238">
        <f ca="1">IF(B19="",NA(),IFERROR(INDEX('Financial Data Input'!$B$7:$I$66,$A19,D$6),NA()))</f>
        <v>1</v>
      </c>
      <c r="E19" s="238">
        <f ca="1">IF(B19="",NA(),IFERROR(INDEX('Financial Data Input'!$B$7:$I$66,$A19,E$6),NA()))</f>
        <v>0</v>
      </c>
      <c r="F19" s="238">
        <f ca="1">IF(B19="",NA(),IFERROR(INDEX('Financial Data Input'!$B$7:$I$66,$A19,F$6),NA()))</f>
        <v>0</v>
      </c>
      <c r="G19" s="238">
        <f ca="1">IF(B19="",NA(),IFERROR(INDEX('Financial Data Input'!$B$7:$I$66,$A19,G$6),NA()))</f>
        <v>0</v>
      </c>
    </row>
    <row r="20" spans="1:7" ht="19.5" customHeight="1" x14ac:dyDescent="0.25">
      <c r="A20" s="238">
        <f>ROWS($B$15:B20)</f>
        <v>6</v>
      </c>
      <c r="B20" s="238" t="str">
        <f>IF('Financial Data Input'!B12=0,"",'Financial Data Input'!B12)</f>
        <v>Unused Pcards %</v>
      </c>
      <c r="C20" s="238">
        <f ca="1">IF(B20="",NA(),IFERROR(INDEX('Financial Data Input'!$B$7:$I$66,$A20,C$6),NA()))</f>
        <v>3.7037037037037035E-2</v>
      </c>
      <c r="D20" s="238">
        <f ca="1">IF(B20="",NA(),IFERROR(INDEX('Financial Data Input'!$B$7:$I$66,$A20,D$6),NA()))</f>
        <v>3.5714285714285712E-2</v>
      </c>
      <c r="E20" s="238">
        <f ca="1">IF(B20="",NA(),IFERROR(INDEX('Financial Data Input'!$B$7:$I$66,$A20,E$6),NA()))</f>
        <v>0</v>
      </c>
      <c r="F20" s="238">
        <f ca="1">IF(B20="",NA(),IFERROR(INDEX('Financial Data Input'!$B$7:$I$66,$A20,F$6),NA()))</f>
        <v>0</v>
      </c>
      <c r="G20" s="238">
        <f ca="1">IF(B20="",NA(),IFERROR(INDEX('Financial Data Input'!$B$7:$I$66,$A20,G$6),NA()))</f>
        <v>0</v>
      </c>
    </row>
    <row r="21" spans="1:7" ht="19.5" customHeight="1" x14ac:dyDescent="0.25">
      <c r="A21" s="238">
        <f>ROWS($B$15:B21)</f>
        <v>7</v>
      </c>
      <c r="B21" s="238" t="str">
        <f>IF('Financial Data Input'!B13=0,"",'Financial Data Input'!B13)</f>
        <v>Total Paid $</v>
      </c>
      <c r="C21" s="238">
        <f ca="1">IF(B21="",NA(),IFERROR(INDEX('Financial Data Input'!$B$7:$I$66,$A21,C$6),NA()))</f>
        <v>11798.02534</v>
      </c>
      <c r="D21" s="238">
        <f ca="1">IF(B21="",NA(),IFERROR(INDEX('Financial Data Input'!$B$7:$I$66,$A21,D$6),NA()))</f>
        <v>11631.73307</v>
      </c>
      <c r="E21" s="238">
        <f ca="1">IF(B21="",NA(),IFERROR(INDEX('Financial Data Input'!$B$7:$I$66,$A21,E$6),NA()))</f>
        <v>13161.719429999999</v>
      </c>
      <c r="F21" s="238">
        <f ca="1">IF(B21="",NA(),IFERROR(INDEX('Financial Data Input'!$B$7:$I$66,$A21,F$6),NA()))</f>
        <v>13046.20874</v>
      </c>
      <c r="G21" s="238">
        <f ca="1">IF(B21="",NA(),IFERROR(INDEX('Financial Data Input'!$B$7:$I$66,$A21,G$6),NA()))</f>
        <v>13352.26607</v>
      </c>
    </row>
    <row r="22" spans="1:7" ht="19.5" customHeight="1" x14ac:dyDescent="0.25">
      <c r="A22" s="238">
        <f>ROWS($B$15:B22)</f>
        <v>8</v>
      </c>
      <c r="B22" s="238" t="str">
        <f>IF('Financial Data Input'!B14=0,"",'Financial Data Input'!B14)</f>
        <v>Total Transfers $</v>
      </c>
      <c r="C22" s="238">
        <f ca="1">IF(B22="",NA(),IFERROR(INDEX('Financial Data Input'!$B$7:$I$66,$A22,C$6),NA()))</f>
        <v>1967.9167199999999</v>
      </c>
      <c r="D22" s="238">
        <f ca="1">IF(B22="",NA(),IFERROR(INDEX('Financial Data Input'!$B$7:$I$66,$A22,D$6),NA()))</f>
        <v>1182.6903300000001</v>
      </c>
      <c r="E22" s="238">
        <f ca="1">IF(B22="",NA(),IFERROR(INDEX('Financial Data Input'!$B$7:$I$66,$A22,E$6),NA()))</f>
        <v>1588.52007</v>
      </c>
      <c r="F22" s="238">
        <f ca="1">IF(B22="",NA(),IFERROR(INDEX('Financial Data Input'!$B$7:$I$66,$A22,F$6),NA()))</f>
        <v>1980.36726</v>
      </c>
      <c r="G22" s="238">
        <f ca="1">IF(B22="",NA(),IFERROR(INDEX('Financial Data Input'!$B$7:$I$66,$A22,G$6),NA()))</f>
        <v>1587.9008400000014</v>
      </c>
    </row>
    <row r="23" spans="1:7" ht="19.5" customHeight="1" x14ac:dyDescent="0.25">
      <c r="A23" s="238">
        <f>ROWS($B$15:B23)</f>
        <v>9</v>
      </c>
      <c r="B23" s="238" t="str">
        <f>IF('Financial Data Input'!B15=0,"",'Financial Data Input'!B15)</f>
        <v>Retro Salary Transfers &gt; 90 Days $</v>
      </c>
      <c r="C23" s="238">
        <f ca="1">IF(B23="",NA(),IFERROR(INDEX('Financial Data Input'!$B$7:$I$66,$A23,C$6),NA()))</f>
        <v>757.14023000000009</v>
      </c>
      <c r="D23" s="238">
        <f ca="1">IF(B23="",NA(),IFERROR(INDEX('Financial Data Input'!$B$7:$I$66,$A23,D$6),NA()))</f>
        <v>245.00779999999997</v>
      </c>
      <c r="E23" s="238">
        <f ca="1">IF(B23="",NA(),IFERROR(INDEX('Financial Data Input'!$B$7:$I$66,$A23,E$6),NA()))</f>
        <v>287.05917999999997</v>
      </c>
      <c r="F23" s="238">
        <f ca="1">IF(B23="",NA(),IFERROR(INDEX('Financial Data Input'!$B$7:$I$66,$A23,F$6),NA()))</f>
        <v>450.14229999999998</v>
      </c>
      <c r="G23" s="238">
        <f ca="1">IF(B23="",NA(),IFERROR(INDEX('Financial Data Input'!$B$7:$I$66,$A23,G$6),NA()))</f>
        <v>363.77817000000005</v>
      </c>
    </row>
    <row r="24" spans="1:7" ht="19.5" customHeight="1" x14ac:dyDescent="0.25">
      <c r="A24" s="238">
        <f>ROWS($B$15:B24)</f>
        <v>10</v>
      </c>
      <c r="B24" s="238" t="str">
        <f>IF('Financial Data Input'!B16=0,"",'Financial Data Input'!B16)</f>
        <v>Total Transfers %</v>
      </c>
      <c r="C24" s="238">
        <f ca="1">IF(B24="",NA(),IFERROR(INDEX('Financial Data Input'!$B$7:$I$66,$A24,C$6),NA()))</f>
        <v>0.16680051646676664</v>
      </c>
      <c r="D24" s="238">
        <f ca="1">IF(B24="",NA(),IFERROR(INDEX('Financial Data Input'!$B$7:$I$66,$A24,D$6),NA()))</f>
        <v>0.10167791187113272</v>
      </c>
      <c r="E24" s="238">
        <f ca="1">IF(B24="",NA(),IFERROR(INDEX('Financial Data Input'!$B$7:$I$66,$A24,E$6),NA()))</f>
        <v>0.12069244284141377</v>
      </c>
      <c r="F24" s="238">
        <f ca="1">IF(B24="",NA(),IFERROR(INDEX('Financial Data Input'!$B$7:$I$66,$A24,F$6),NA()))</f>
        <v>0.15179638004167026</v>
      </c>
      <c r="G24" s="238">
        <f ca="1">IF(B24="",NA(),IFERROR(INDEX('Financial Data Input'!$B$7:$I$66,$A24,G$6),NA()))</f>
        <v>0.1189236966725605</v>
      </c>
    </row>
    <row r="25" spans="1:7" ht="19.5" customHeight="1" x14ac:dyDescent="0.25">
      <c r="A25" s="238">
        <f>ROWS($B$15:B25)</f>
        <v>11</v>
      </c>
      <c r="B25" s="238" t="str">
        <f>IF('Financial Data Input'!B17=0,"",'Financial Data Input'!B17)</f>
        <v>Transfers &gt; 90 Days %</v>
      </c>
      <c r="C25" s="238">
        <f ca="1">IF(B25="",NA(),IFERROR(INDEX('Financial Data Input'!$B$7:$I$66,$A25,C$6),NA()))</f>
        <v>6.4175165604450218E-2</v>
      </c>
      <c r="D25" s="238">
        <f ca="1">IF(B25="",NA(),IFERROR(INDEX('Financial Data Input'!$B$7:$I$66,$A25,D$6),NA()))</f>
        <v>2.1063739902346296E-2</v>
      </c>
      <c r="E25" s="238">
        <f ca="1">IF(B25="",NA(),IFERROR(INDEX('Financial Data Input'!$B$7:$I$66,$A25,E$6),NA()))</f>
        <v>2.4331120821274657E-2</v>
      </c>
      <c r="F25" s="238">
        <f ca="1">IF(B25="",NA(),IFERROR(INDEX('Financial Data Input'!$B$7:$I$66,$A25,F$6),NA()))</f>
        <v>3.4503686777588687E-2</v>
      </c>
      <c r="G25" s="238">
        <f ca="1">IF(B25="",NA(),IFERROR(INDEX('Financial Data Input'!$B$7:$I$66,$A25,G$6),NA()))</f>
        <v>2.7244676528528765E-2</v>
      </c>
    </row>
    <row r="26" spans="1:7" ht="19.5" customHeight="1" x14ac:dyDescent="0.25">
      <c r="A26" s="238">
        <f>ROWS($B$15:B26)</f>
        <v>12</v>
      </c>
      <c r="B26" s="238" t="str">
        <f>IF('Financial Data Input'!B18=0,"",'Financial Data Input'!B18)</f>
        <v>Total Paid $</v>
      </c>
      <c r="C26" s="238">
        <f ca="1">IF(B26="",NA(),IFERROR(INDEX('Financial Data Input'!$B$7:$I$66,$A26,C$6),NA()))</f>
        <v>6137.7659999999996</v>
      </c>
      <c r="D26" s="238">
        <f ca="1">IF(B26="",NA(),IFERROR(INDEX('Financial Data Input'!$B$7:$I$66,$A26,D$6),NA()))</f>
        <v>5750.8609999999999</v>
      </c>
      <c r="E26" s="238">
        <f ca="1">IF(B26="",NA(),IFERROR(INDEX('Financial Data Input'!$B$7:$I$66,$A26,E$6),NA()))</f>
        <v>6135.5183699999734</v>
      </c>
      <c r="F26" s="238">
        <f ca="1">IF(B26="",NA(),IFERROR(INDEX('Financial Data Input'!$B$7:$I$66,$A26,F$6),NA()))</f>
        <v>5708.0775299999932</v>
      </c>
      <c r="G26" s="238">
        <f ca="1">IF(B26="",NA(),IFERROR(INDEX('Financial Data Input'!$B$7:$I$66,$A26,G$6),NA()))</f>
        <v>5263.1038199999894</v>
      </c>
    </row>
    <row r="27" spans="1:7" ht="19.5" customHeight="1" x14ac:dyDescent="0.25">
      <c r="A27" s="238">
        <f>ROWS($B$15:B27)</f>
        <v>13</v>
      </c>
      <c r="B27" s="238" t="str">
        <f>IF('Financial Data Input'!B19=0,"",'Financial Data Input'!B19)</f>
        <v>Total Transfers $</v>
      </c>
      <c r="C27" s="238">
        <f ca="1">IF(B27="",NA(),IFERROR(INDEX('Financial Data Input'!$B$7:$I$66,$A27,C$6),NA()))</f>
        <v>527.83454000000006</v>
      </c>
      <c r="D27" s="238">
        <f ca="1">IF(B27="",NA(),IFERROR(INDEX('Financial Data Input'!$B$7:$I$66,$A27,D$6),NA()))</f>
        <v>424.78914000000003</v>
      </c>
      <c r="E27" s="238">
        <f ca="1">IF(B27="",NA(),IFERROR(INDEX('Financial Data Input'!$B$7:$I$66,$A27,E$6),NA()))</f>
        <v>758.32914000000028</v>
      </c>
      <c r="F27" s="238">
        <f ca="1">IF(B27="",NA(),IFERROR(INDEX('Financial Data Input'!$B$7:$I$66,$A27,F$6),NA()))</f>
        <v>645.94058000000018</v>
      </c>
      <c r="G27" s="238">
        <f ca="1">IF(B27="",NA(),IFERROR(INDEX('Financial Data Input'!$B$7:$I$66,$A27,G$6),NA()))</f>
        <v>674.19994999999983</v>
      </c>
    </row>
    <row r="28" spans="1:7" ht="19.5" customHeight="1" x14ac:dyDescent="0.25">
      <c r="A28" s="238">
        <f>ROWS($B$15:B28)</f>
        <v>14</v>
      </c>
      <c r="B28" s="238" t="str">
        <f>IF('Financial Data Input'!B20=0,"",'Financial Data Input'!B20)</f>
        <v>Transfers After PG End Date $</v>
      </c>
      <c r="C28" s="238">
        <f ca="1">IF(B28="",NA(),IFERROR(INDEX('Financial Data Input'!$B$7:$I$66,$A28,C$6),NA()))</f>
        <v>12.000849999999998</v>
      </c>
      <c r="D28" s="238">
        <f ca="1">IF(B28="",NA(),IFERROR(INDEX('Financial Data Input'!$B$7:$I$66,$A28,D$6),NA()))</f>
        <v>17.659790000000001</v>
      </c>
      <c r="E28" s="238">
        <f ca="1">IF(B28="",NA(),IFERROR(INDEX('Financial Data Input'!$B$7:$I$66,$A28,E$6),NA()))</f>
        <v>40.518339999999995</v>
      </c>
      <c r="F28" s="238">
        <f ca="1">IF(B28="",NA(),IFERROR(INDEX('Financial Data Input'!$B$7:$I$66,$A28,F$6),NA()))</f>
        <v>97.517179999999996</v>
      </c>
      <c r="G28" s="238">
        <f ca="1">IF(B28="",NA(),IFERROR(INDEX('Financial Data Input'!$B$7:$I$66,$A28,G$6),NA()))</f>
        <v>70.930460000000011</v>
      </c>
    </row>
    <row r="29" spans="1:7" ht="19.5" customHeight="1" x14ac:dyDescent="0.25">
      <c r="A29" s="238">
        <f>ROWS($B$15:B29)</f>
        <v>15</v>
      </c>
      <c r="B29" s="238" t="str">
        <f>IF('Financial Data Input'!B21=0,"",'Financial Data Input'!B21)</f>
        <v>Total Transfers %</v>
      </c>
      <c r="C29" s="238">
        <f ca="1">IF(B29="",NA(),IFERROR(INDEX('Financial Data Input'!$B$7:$I$66,$A29,C$6),NA()))</f>
        <v>8.5997827222478021E-2</v>
      </c>
      <c r="D29" s="238">
        <f ca="1">IF(B29="",NA(),IFERROR(INDEX('Financial Data Input'!$B$7:$I$66,$A29,D$6),NA()))</f>
        <v>7.3865311646377829E-2</v>
      </c>
      <c r="E29" s="238">
        <f ca="1">IF(B29="",NA(),IFERROR(INDEX('Financial Data Input'!$B$7:$I$66,$A29,E$6),NA()))</f>
        <v>0.12359658862858292</v>
      </c>
      <c r="F29" s="238">
        <f ca="1">IF(B29="",NA(),IFERROR(INDEX('Financial Data Input'!$B$7:$I$66,$A29,F$6),NA()))</f>
        <v>0.11316254493831324</v>
      </c>
      <c r="G29" s="238">
        <f ca="1">IF(B29="",NA(),IFERROR(INDEX('Financial Data Input'!$B$7:$I$66,$A29,G$6),NA()))</f>
        <v>0.12809930661789629</v>
      </c>
    </row>
    <row r="30" spans="1:7" ht="19.5" customHeight="1" x14ac:dyDescent="0.25">
      <c r="A30" s="238">
        <f>ROWS($B$15:B30)</f>
        <v>16</v>
      </c>
      <c r="B30" s="238" t="str">
        <f>IF('Financial Data Input'!B22=0,"",'Financial Data Input'!B22)</f>
        <v>Transfers After PG End Date %</v>
      </c>
      <c r="C30" s="238">
        <f ca="1">IF(B30="",NA(),IFERROR(INDEX('Financial Data Input'!$B$7:$I$66,$A30,C$6),NA()))</f>
        <v>1.9552472349059899E-3</v>
      </c>
      <c r="D30" s="238">
        <f ca="1">IF(B30="",NA(),IFERROR(INDEX('Financial Data Input'!$B$7:$I$66,$A30,D$6),NA()))</f>
        <v>3.0708080059664109E-3</v>
      </c>
      <c r="E30" s="238">
        <f ca="1">IF(B30="",NA(),IFERROR(INDEX('Financial Data Input'!$B$7:$I$66,$A30,E$6),NA()))</f>
        <v>6.6038984086686341E-3</v>
      </c>
      <c r="F30" s="238">
        <f ca="1">IF(B30="",NA(),IFERROR(INDEX('Financial Data Input'!$B$7:$I$66,$A30,F$6),NA()))</f>
        <v>1.708406718154722E-2</v>
      </c>
      <c r="G30" s="238">
        <f ca="1">IF(B30="",NA(),IFERROR(INDEX('Financial Data Input'!$B$7:$I$66,$A30,G$6),NA()))</f>
        <v>1.3476925864631747E-2</v>
      </c>
    </row>
    <row r="31" spans="1:7" ht="19.5" customHeight="1" x14ac:dyDescent="0.25">
      <c r="A31" s="238">
        <f>ROWS($B$15:B31)</f>
        <v>17</v>
      </c>
      <c r="B31" s="238" t="str">
        <f>IF('Financial Data Input'!B23=0,"",'Financial Data Input'!B23)</f>
        <v>Faculty/Staff Required to Certify #</v>
      </c>
      <c r="C31" s="238">
        <f ca="1">IF(B31="",NA(),IFERROR(INDEX('Financial Data Input'!$B$7:$I$66,$A31,C$6),NA()))</f>
        <v>109</v>
      </c>
      <c r="D31" s="238">
        <f ca="1">IF(B31="",NA(),IFERROR(INDEX('Financial Data Input'!$B$7:$I$66,$A31,D$6),NA()))</f>
        <v>104</v>
      </c>
      <c r="E31" s="238">
        <f ca="1">IF(B31="",NA(),IFERROR(INDEX('Financial Data Input'!$B$7:$I$66,$A31,E$6),NA()))</f>
        <v>117</v>
      </c>
      <c r="F31" s="238">
        <f ca="1">IF(B31="",NA(),IFERROR(INDEX('Financial Data Input'!$B$7:$I$66,$A31,F$6),NA()))</f>
        <v>124</v>
      </c>
      <c r="G31" s="238">
        <f ca="1">IF(B31="",NA(),IFERROR(INDEX('Financial Data Input'!$B$7:$I$66,$A31,G$6),NA()))</f>
        <v>101</v>
      </c>
    </row>
    <row r="32" spans="1:7" ht="19.5" customHeight="1" x14ac:dyDescent="0.25">
      <c r="A32" s="238">
        <f>ROWS($B$15:B32)</f>
        <v>18</v>
      </c>
      <c r="B32" s="238" t="str">
        <f>IF('Financial Data Input'!B24=0,"",'Financial Data Input'!B24)</f>
        <v>On-Time #</v>
      </c>
      <c r="C32" s="238">
        <f ca="1">IF(B32="",NA(),IFERROR(INDEX('Financial Data Input'!$B$7:$I$66,$A32,C$6),NA()))</f>
        <v>106</v>
      </c>
      <c r="D32" s="238">
        <f ca="1">IF(B32="",NA(),IFERROR(INDEX('Financial Data Input'!$B$7:$I$66,$A32,D$6),NA()))</f>
        <v>98</v>
      </c>
      <c r="E32" s="238">
        <f ca="1">IF(B32="",NA(),IFERROR(INDEX('Financial Data Input'!$B$7:$I$66,$A32,E$6),NA()))</f>
        <v>102</v>
      </c>
      <c r="F32" s="238">
        <f ca="1">IF(B32="",NA(),IFERROR(INDEX('Financial Data Input'!$B$7:$I$66,$A32,F$6),NA()))</f>
        <v>123</v>
      </c>
      <c r="G32" s="238">
        <f ca="1">IF(B32="",NA(),IFERROR(INDEX('Financial Data Input'!$B$7:$I$66,$A32,G$6),NA()))</f>
        <v>99</v>
      </c>
    </row>
    <row r="33" spans="1:7" ht="19.5" customHeight="1" x14ac:dyDescent="0.25">
      <c r="A33" s="238">
        <f>ROWS($B$15:B33)</f>
        <v>19</v>
      </c>
      <c r="B33" s="238" t="str">
        <f>IF('Financial Data Input'!B25=0,"",'Financial Data Input'!B25)</f>
        <v>On-Time %</v>
      </c>
      <c r="C33" s="238">
        <f ca="1">IF(B33="",NA(),IFERROR(INDEX('Financial Data Input'!$B$7:$I$66,$A33,C$6),NA()))</f>
        <v>0.97247706422018354</v>
      </c>
      <c r="D33" s="238">
        <f ca="1">IF(B33="",NA(),IFERROR(INDEX('Financial Data Input'!$B$7:$I$66,$A33,D$6),NA()))</f>
        <v>0.94230769230769229</v>
      </c>
      <c r="E33" s="238">
        <f ca="1">IF(B33="",NA(),IFERROR(INDEX('Financial Data Input'!$B$7:$I$66,$A33,E$6),NA()))</f>
        <v>0.87179487179487181</v>
      </c>
      <c r="F33" s="238">
        <f ca="1">IF(B33="",NA(),IFERROR(INDEX('Financial Data Input'!$B$7:$I$66,$A33,F$6),NA()))</f>
        <v>0.99193548387096775</v>
      </c>
      <c r="G33" s="238">
        <f ca="1">IF(B33="",NA(),IFERROR(INDEX('Financial Data Input'!$B$7:$I$66,$A33,G$6),NA()))</f>
        <v>0.98019801980198018</v>
      </c>
    </row>
    <row r="34" spans="1:7" ht="19.5" customHeight="1" x14ac:dyDescent="0.25">
      <c r="A34" s="238">
        <f>ROWS($B$15:B34)</f>
        <v>20</v>
      </c>
      <c r="B34" s="238" t="str">
        <f>IF('Financial Data Input'!B26=0,"",'Financial Data Input'!B26)</f>
        <v>Deposit Locations #</v>
      </c>
      <c r="C34" s="238">
        <f ca="1">IF(B34="",NA(),IFERROR(INDEX('Financial Data Input'!$B$7:$I$66,$A34,C$6),NA()))</f>
        <v>1</v>
      </c>
      <c r="D34" s="238">
        <f ca="1">IF(B34="",NA(),IFERROR(INDEX('Financial Data Input'!$B$7:$I$66,$A34,D$6),NA()))</f>
        <v>1</v>
      </c>
      <c r="E34" s="238">
        <f ca="1">IF(B34="",NA(),IFERROR(INDEX('Financial Data Input'!$B$7:$I$66,$A34,E$6),NA()))</f>
        <v>2</v>
      </c>
      <c r="F34" s="238">
        <f ca="1">IF(B34="",NA(),IFERROR(INDEX('Financial Data Input'!$B$7:$I$66,$A34,F$6),NA()))</f>
        <v>1</v>
      </c>
      <c r="G34" s="238">
        <f ca="1">IF(B34="",NA(),IFERROR(INDEX('Financial Data Input'!$B$7:$I$66,$A34,G$6),NA()))</f>
        <v>1</v>
      </c>
    </row>
    <row r="35" spans="1:7" ht="19.5" customHeight="1" x14ac:dyDescent="0.25">
      <c r="A35" s="238">
        <f>ROWS($B$15:B35)</f>
        <v>21</v>
      </c>
      <c r="B35" s="238" t="str">
        <f>IF('Financial Data Input'!B27=0,"",'Financial Data Input'!B27)</f>
        <v>Deposits #</v>
      </c>
      <c r="C35" s="238">
        <f ca="1">IF(B35="",NA(),IFERROR(INDEX('Financial Data Input'!$B$7:$I$66,$A35,C$6),NA()))</f>
        <v>36</v>
      </c>
      <c r="D35" s="238">
        <f ca="1">IF(B35="",NA(),IFERROR(INDEX('Financial Data Input'!$B$7:$I$66,$A35,D$6),NA()))</f>
        <v>43</v>
      </c>
      <c r="E35" s="238">
        <f ca="1">IF(B35="",NA(),IFERROR(INDEX('Financial Data Input'!$B$7:$I$66,$A35,E$6),NA()))</f>
        <v>49</v>
      </c>
      <c r="F35" s="238">
        <f ca="1">IF(B35="",NA(),IFERROR(INDEX('Financial Data Input'!$B$7:$I$66,$A35,F$6),NA()))</f>
        <v>40</v>
      </c>
      <c r="G35" s="238">
        <f ca="1">IF(B35="",NA(),IFERROR(INDEX('Financial Data Input'!$B$7:$I$66,$A35,G$6),NA()))</f>
        <v>32</v>
      </c>
    </row>
    <row r="36" spans="1:7" ht="19.5" customHeight="1" x14ac:dyDescent="0.25">
      <c r="A36" s="238">
        <f>ROWS($B$15:B36)</f>
        <v>22</v>
      </c>
      <c r="B36" s="238" t="str">
        <f>IF('Financial Data Input'!B28=0,"",'Financial Data Input'!B28)</f>
        <v>Deposits $</v>
      </c>
      <c r="C36" s="238">
        <f ca="1">IF(B36="",NA(),IFERROR(INDEX('Financial Data Input'!$B$7:$I$66,$A36,C$6),NA()))</f>
        <v>119.96589</v>
      </c>
      <c r="D36" s="238">
        <f ca="1">IF(B36="",NA(),IFERROR(INDEX('Financial Data Input'!$B$7:$I$66,$A36,D$6),NA()))</f>
        <v>1864.85475</v>
      </c>
      <c r="E36" s="238">
        <f ca="1">IF(B36="",NA(),IFERROR(INDEX('Financial Data Input'!$B$7:$I$66,$A36,E$6),NA()))</f>
        <v>251.803</v>
      </c>
      <c r="F36" s="238">
        <f ca="1">IF(B36="",NA(),IFERROR(INDEX('Financial Data Input'!$B$7:$I$66,$A36,F$6),NA()))</f>
        <v>117.73008</v>
      </c>
      <c r="G36" s="238">
        <f ca="1">IF(B36="",NA(),IFERROR(INDEX('Financial Data Input'!$B$7:$I$66,$A36,G$6),NA()))</f>
        <v>46.104099999999995</v>
      </c>
    </row>
    <row r="37" spans="1:7" ht="19.5" customHeight="1" x14ac:dyDescent="0.25">
      <c r="A37" s="238">
        <f>ROWS($B$15:B37)</f>
        <v>23</v>
      </c>
      <c r="B37" s="238" t="str">
        <f>IF('Financial Data Input'!B29=0,"",'Financial Data Input'!B29)</f>
        <v>Depositors #</v>
      </c>
      <c r="C37" s="238">
        <f ca="1">IF(B37="",NA(),IFERROR(INDEX('Financial Data Input'!$B$7:$I$66,$A37,C$6),NA()))</f>
        <v>2</v>
      </c>
      <c r="D37" s="238">
        <f ca="1">IF(B37="",NA(),IFERROR(INDEX('Financial Data Input'!$B$7:$I$66,$A37,D$6),NA()))</f>
        <v>0</v>
      </c>
      <c r="E37" s="238">
        <f ca="1">IF(B37="",NA(),IFERROR(INDEX('Financial Data Input'!$B$7:$I$66,$A37,E$6),NA()))</f>
        <v>4</v>
      </c>
      <c r="F37" s="238">
        <f ca="1">IF(B37="",NA(),IFERROR(INDEX('Financial Data Input'!$B$7:$I$66,$A37,F$6),NA()))</f>
        <v>4</v>
      </c>
      <c r="G37" s="238">
        <f ca="1">IF(B37="",NA(),IFERROR(INDEX('Financial Data Input'!$B$7:$I$66,$A37,G$6),NA()))</f>
        <v>3</v>
      </c>
    </row>
    <row r="38" spans="1:7" ht="19.5" customHeight="1" x14ac:dyDescent="0.25">
      <c r="A38" s="238">
        <f>ROWS($B$15:B38)</f>
        <v>24</v>
      </c>
      <c r="B38" s="238" t="str">
        <f>IF('Financial Data Input'!B30=0,"",'Financial Data Input'!B30)</f>
        <v>Depositors - Up to Date on Training #</v>
      </c>
      <c r="C38" s="238">
        <f ca="1">IF(B38="",NA(),IFERROR(INDEX('Financial Data Input'!$B$7:$I$66,$A38,C$6),NA()))</f>
        <v>2</v>
      </c>
      <c r="D38" s="238">
        <f ca="1">IF(B38="",NA(),IFERROR(INDEX('Financial Data Input'!$B$7:$I$66,$A38,D$6),NA()))</f>
        <v>0</v>
      </c>
      <c r="E38" s="238">
        <f ca="1">IF(B38="",NA(),IFERROR(INDEX('Financial Data Input'!$B$7:$I$66,$A38,E$6),NA()))</f>
        <v>3</v>
      </c>
      <c r="F38" s="238">
        <f ca="1">IF(B38="",NA(),IFERROR(INDEX('Financial Data Input'!$B$7:$I$66,$A38,F$6),NA()))</f>
        <v>3</v>
      </c>
      <c r="G38" s="238">
        <f ca="1">IF(B38="",NA(),IFERROR(INDEX('Financial Data Input'!$B$7:$I$66,$A38,G$6),NA()))</f>
        <v>2</v>
      </c>
    </row>
    <row r="39" spans="1:7" ht="19.5" customHeight="1" x14ac:dyDescent="0.25">
      <c r="A39" s="238">
        <f>ROWS($B$15:B39)</f>
        <v>25</v>
      </c>
      <c r="B39" s="238" t="str">
        <f>IF('Financial Data Input'!B31=0,"",'Financial Data Input'!B31)</f>
        <v>Depositors - Up to Date on Training %</v>
      </c>
      <c r="C39" s="238">
        <f ca="1">IF(B39="",NA(),IFERROR(INDEX('Financial Data Input'!$B$7:$I$66,$A39,C$6),NA()))</f>
        <v>1</v>
      </c>
      <c r="D39" s="238">
        <f ca="1">IF(B39="",NA(),IFERROR(INDEX('Financial Data Input'!$B$7:$I$66,$A39,D$6),NA()))</f>
        <v>0</v>
      </c>
      <c r="E39" s="238">
        <f ca="1">IF(B39="",NA(),IFERROR(INDEX('Financial Data Input'!$B$7:$I$66,$A39,E$6),NA()))</f>
        <v>0.75</v>
      </c>
      <c r="F39" s="238">
        <f ca="1">IF(B39="",NA(),IFERROR(INDEX('Financial Data Input'!$B$7:$I$66,$A39,F$6),NA()))</f>
        <v>0.75</v>
      </c>
      <c r="G39" s="238">
        <f ca="1">IF(B39="",NA(),IFERROR(INDEX('Financial Data Input'!$B$7:$I$66,$A39,G$6),NA()))</f>
        <v>0.66666666666666663</v>
      </c>
    </row>
    <row r="40" spans="1:7" ht="19.5" customHeight="1" x14ac:dyDescent="0.25">
      <c r="A40" s="238">
        <f>ROWS($B$15:B40)</f>
        <v>26</v>
      </c>
      <c r="B40" s="238" t="str">
        <f>IF('Financial Data Input'!B32=0,"",'Financial Data Input'!B32)</f>
        <v>Merchants #</v>
      </c>
      <c r="C40" s="238">
        <f ca="1">IF(B40="",NA(),IFERROR(INDEX('Financial Data Input'!$B$7:$I$66,$A40,C$6),NA()))</f>
        <v>0</v>
      </c>
      <c r="D40" s="238">
        <f ca="1">IF(B40="",NA(),IFERROR(INDEX('Financial Data Input'!$B$7:$I$66,$A40,D$6),NA()))</f>
        <v>0</v>
      </c>
      <c r="E40" s="238">
        <f ca="1">IF(B40="",NA(),IFERROR(INDEX('Financial Data Input'!$B$7:$I$66,$A40,E$6),NA()))</f>
        <v>0</v>
      </c>
      <c r="F40" s="238">
        <f ca="1">IF(B40="",NA(),IFERROR(INDEX('Financial Data Input'!$B$7:$I$66,$A40,F$6),NA()))</f>
        <v>0</v>
      </c>
      <c r="G40" s="238" t="str">
        <f ca="1">IF(B40="",NA(),IFERROR(INDEX('Financial Data Input'!$B$7:$I$66,$A40,G$6),NA()))</f>
        <v>n/a</v>
      </c>
    </row>
    <row r="41" spans="1:7" ht="19.5" customHeight="1" x14ac:dyDescent="0.25">
      <c r="A41" s="238">
        <f>ROWS($B$15:B41)</f>
        <v>27</v>
      </c>
      <c r="B41" s="238" t="str">
        <f>IF('Financial Data Input'!B33=0,"",'Financial Data Input'!B33)</f>
        <v>Merchants Compliant #</v>
      </c>
      <c r="C41" s="238">
        <f ca="1">IF(B41="",NA(),IFERROR(INDEX('Financial Data Input'!$B$7:$I$66,$A41,C$6),NA()))</f>
        <v>0</v>
      </c>
      <c r="D41" s="238">
        <f ca="1">IF(B41="",NA(),IFERROR(INDEX('Financial Data Input'!$B$7:$I$66,$A41,D$6),NA()))</f>
        <v>0</v>
      </c>
      <c r="E41" s="238">
        <f ca="1">IF(B41="",NA(),IFERROR(INDEX('Financial Data Input'!$B$7:$I$66,$A41,E$6),NA()))</f>
        <v>0</v>
      </c>
      <c r="F41" s="238">
        <f ca="1">IF(B41="",NA(),IFERROR(INDEX('Financial Data Input'!$B$7:$I$66,$A41,F$6),NA()))</f>
        <v>0</v>
      </c>
      <c r="G41" s="238" t="str">
        <f ca="1">IF(B41="",NA(),IFERROR(INDEX('Financial Data Input'!$B$7:$I$66,$A41,G$6),NA()))</f>
        <v>n/a</v>
      </c>
    </row>
    <row r="42" spans="1:7" ht="19.5" customHeight="1" x14ac:dyDescent="0.25">
      <c r="A42" s="238">
        <f>ROWS($B$15:B42)</f>
        <v>28</v>
      </c>
      <c r="B42" s="238" t="str">
        <f>IF('Financial Data Input'!B34=0,"",'Financial Data Input'!B34)</f>
        <v>Merchants Compliant %</v>
      </c>
      <c r="C42" s="238">
        <f ca="1">IF(B42="",NA(),IFERROR(INDEX('Financial Data Input'!$B$7:$I$66,$A42,C$6),NA()))</f>
        <v>0</v>
      </c>
      <c r="D42" s="238">
        <f ca="1">IF(B42="",NA(),IFERROR(INDEX('Financial Data Input'!$B$7:$I$66,$A42,D$6),NA()))</f>
        <v>0</v>
      </c>
      <c r="E42" s="238">
        <f ca="1">IF(B42="",NA(),IFERROR(INDEX('Financial Data Input'!$B$7:$I$66,$A42,E$6),NA()))</f>
        <v>0</v>
      </c>
      <c r="F42" s="238">
        <f ca="1">IF(B42="",NA(),IFERROR(INDEX('Financial Data Input'!$B$7:$I$66,$A42,F$6),NA()))</f>
        <v>0</v>
      </c>
      <c r="G42" s="238">
        <f ca="1">IF(B42="",NA(),IFERROR(INDEX('Financial Data Input'!$B$7:$I$66,$A42,G$6),NA()))</f>
        <v>0</v>
      </c>
    </row>
    <row r="43" spans="1:7" ht="19.5" customHeight="1" x14ac:dyDescent="0.25">
      <c r="A43" s="238">
        <f>ROWS($B$15:B43)</f>
        <v>29</v>
      </c>
      <c r="B43" s="238" t="str">
        <f>IF('Financial Data Input'!B35=0,"",'Financial Data Input'!B35)</f>
        <v>Sales #</v>
      </c>
      <c r="C43" s="238">
        <f ca="1">IF(B43="",NA(),IFERROR(INDEX('Financial Data Input'!$B$7:$I$66,$A43,C$6),NA()))</f>
        <v>0</v>
      </c>
      <c r="D43" s="238">
        <f ca="1">IF(B43="",NA(),IFERROR(INDEX('Financial Data Input'!$B$7:$I$66,$A43,D$6),NA()))</f>
        <v>0</v>
      </c>
      <c r="E43" s="238">
        <f ca="1">IF(B43="",NA(),IFERROR(INDEX('Financial Data Input'!$B$7:$I$66,$A43,E$6),NA()))</f>
        <v>0</v>
      </c>
      <c r="F43" s="238">
        <f ca="1">IF(B43="",NA(),IFERROR(INDEX('Financial Data Input'!$B$7:$I$66,$A43,F$6),NA()))</f>
        <v>0</v>
      </c>
      <c r="G43" s="238">
        <f ca="1">IF(B43="",NA(),IFERROR(INDEX('Financial Data Input'!$B$7:$I$66,$A43,G$6),NA()))</f>
        <v>0</v>
      </c>
    </row>
    <row r="44" spans="1:7" ht="19.5" customHeight="1" x14ac:dyDescent="0.25">
      <c r="A44" s="238">
        <f>ROWS($B$15:B44)</f>
        <v>30</v>
      </c>
      <c r="B44" s="238" t="str">
        <f>IF('Financial Data Input'!B36=0,"",'Financial Data Input'!B36)</f>
        <v>Sales $</v>
      </c>
      <c r="C44" s="238">
        <f ca="1">IF(B44="",NA(),IFERROR(INDEX('Financial Data Input'!$B$7:$I$66,$A44,C$6),NA()))</f>
        <v>0</v>
      </c>
      <c r="D44" s="238">
        <f ca="1">IF(B44="",NA(),IFERROR(INDEX('Financial Data Input'!$B$7:$I$66,$A44,D$6),NA()))</f>
        <v>0</v>
      </c>
      <c r="E44" s="238">
        <f ca="1">IF(B44="",NA(),IFERROR(INDEX('Financial Data Input'!$B$7:$I$66,$A44,E$6),NA()))</f>
        <v>0</v>
      </c>
      <c r="F44" s="238">
        <f ca="1">IF(B44="",NA(),IFERROR(INDEX('Financial Data Input'!$B$7:$I$66,$A44,F$6),NA()))</f>
        <v>0</v>
      </c>
      <c r="G44" s="238">
        <f ca="1">IF(B44="",NA(),IFERROR(INDEX('Financial Data Input'!$B$7:$I$66,$A44,G$6),NA()))</f>
        <v>0</v>
      </c>
    </row>
    <row r="45" spans="1:7" ht="19.5" customHeight="1" x14ac:dyDescent="0.25">
      <c r="A45" s="238">
        <f>ROWS($B$15:B45)</f>
        <v>31</v>
      </c>
      <c r="B45" s="238" t="str">
        <f>IF('Financial Data Input'!B37=0,"",'Financial Data Input'!B37)</f>
        <v>Refunds #</v>
      </c>
      <c r="C45" s="238">
        <f ca="1">IF(B45="",NA(),IFERROR(INDEX('Financial Data Input'!$B$7:$I$66,$A45,C$6),NA()))</f>
        <v>0</v>
      </c>
      <c r="D45" s="238">
        <f ca="1">IF(B45="",NA(),IFERROR(INDEX('Financial Data Input'!$B$7:$I$66,$A45,D$6),NA()))</f>
        <v>0</v>
      </c>
      <c r="E45" s="238">
        <f ca="1">IF(B45="",NA(),IFERROR(INDEX('Financial Data Input'!$B$7:$I$66,$A45,E$6),NA()))</f>
        <v>0</v>
      </c>
      <c r="F45" s="238">
        <f ca="1">IF(B45="",NA(),IFERROR(INDEX('Financial Data Input'!$B$7:$I$66,$A45,F$6),NA()))</f>
        <v>0</v>
      </c>
      <c r="G45" s="238">
        <f ca="1">IF(B45="",NA(),IFERROR(INDEX('Financial Data Input'!$B$7:$I$66,$A45,G$6),NA()))</f>
        <v>0</v>
      </c>
    </row>
    <row r="46" spans="1:7" ht="19.5" customHeight="1" x14ac:dyDescent="0.25">
      <c r="A46" s="238">
        <f>ROWS($B$15:B46)</f>
        <v>32</v>
      </c>
      <c r="B46" s="238" t="str">
        <f>IF('Financial Data Input'!B38=0,"",'Financial Data Input'!B38)</f>
        <v>Refunds $</v>
      </c>
      <c r="C46" s="238">
        <f ca="1">IF(B46="",NA(),IFERROR(INDEX('Financial Data Input'!$B$7:$I$66,$A46,C$6),NA()))</f>
        <v>0</v>
      </c>
      <c r="D46" s="238">
        <f ca="1">IF(B46="",NA(),IFERROR(INDEX('Financial Data Input'!$B$7:$I$66,$A46,D$6),NA()))</f>
        <v>0</v>
      </c>
      <c r="E46" s="238">
        <f ca="1">IF(B46="",NA(),IFERROR(INDEX('Financial Data Input'!$B$7:$I$66,$A46,E$6),NA()))</f>
        <v>0</v>
      </c>
      <c r="F46" s="238">
        <f ca="1">IF(B46="",NA(),IFERROR(INDEX('Financial Data Input'!$B$7:$I$66,$A46,F$6),NA()))</f>
        <v>0</v>
      </c>
      <c r="G46" s="238">
        <f ca="1">IF(B46="",NA(),IFERROR(INDEX('Financial Data Input'!$B$7:$I$66,$A46,G$6),NA()))</f>
        <v>0</v>
      </c>
    </row>
    <row r="47" spans="1:7" ht="19.5" customHeight="1" x14ac:dyDescent="0.25">
      <c r="A47" s="238">
        <f>ROWS($B$15:B47)</f>
        <v>33</v>
      </c>
      <c r="B47" s="238" t="str">
        <f>IF('Financial Data Input'!B39=0,"",'Financial Data Input'!B39)</f>
        <v>Authorized Users #</v>
      </c>
      <c r="C47" s="238">
        <f ca="1">IF(B47="",NA(),IFERROR(INDEX('Financial Data Input'!$B$7:$I$66,$A47,C$6),NA()))</f>
        <v>0</v>
      </c>
      <c r="D47" s="238">
        <f ca="1">IF(B47="",NA(),IFERROR(INDEX('Financial Data Input'!$B$7:$I$66,$A47,D$6),NA()))</f>
        <v>0</v>
      </c>
      <c r="E47" s="238">
        <f ca="1">IF(B47="",NA(),IFERROR(INDEX('Financial Data Input'!$B$7:$I$66,$A47,E$6),NA()))</f>
        <v>0</v>
      </c>
      <c r="F47" s="238">
        <f ca="1">IF(B47="",NA(),IFERROR(INDEX('Financial Data Input'!$B$7:$I$66,$A47,F$6),NA()))</f>
        <v>0</v>
      </c>
      <c r="G47" s="238">
        <f ca="1">IF(B47="",NA(),IFERROR(INDEX('Financial Data Input'!$B$7:$I$66,$A47,G$6),NA()))</f>
        <v>0</v>
      </c>
    </row>
    <row r="48" spans="1:7" ht="19.5" customHeight="1" x14ac:dyDescent="0.25">
      <c r="A48" s="238">
        <f>ROWS($B$15:B48)</f>
        <v>34</v>
      </c>
      <c r="B48" s="238" t="str">
        <f>IF('Financial Data Input'!B40=0,"",'Financial Data Input'!B40)</f>
        <v>Users Up to Date on Training #</v>
      </c>
      <c r="C48" s="238">
        <f ca="1">IF(B48="",NA(),IFERROR(INDEX('Financial Data Input'!$B$7:$I$66,$A48,C$6),NA()))</f>
        <v>0</v>
      </c>
      <c r="D48" s="238">
        <f ca="1">IF(B48="",NA(),IFERROR(INDEX('Financial Data Input'!$B$7:$I$66,$A48,D$6),NA()))</f>
        <v>0</v>
      </c>
      <c r="E48" s="238">
        <f ca="1">IF(B48="",NA(),IFERROR(INDEX('Financial Data Input'!$B$7:$I$66,$A48,E$6),NA()))</f>
        <v>0</v>
      </c>
      <c r="F48" s="238">
        <f ca="1">IF(B48="",NA(),IFERROR(INDEX('Financial Data Input'!$B$7:$I$66,$A48,F$6),NA()))</f>
        <v>0</v>
      </c>
      <c r="G48" s="238">
        <f ca="1">IF(B48="",NA(),IFERROR(INDEX('Financial Data Input'!$B$7:$I$66,$A48,G$6),NA()))</f>
        <v>0</v>
      </c>
    </row>
    <row r="49" spans="1:7" ht="19.5" customHeight="1" x14ac:dyDescent="0.25">
      <c r="A49" s="238">
        <f>ROWS($B$15:B49)</f>
        <v>35</v>
      </c>
      <c r="B49" s="238" t="str">
        <f>IF('Financial Data Input'!B41=0,"",'Financial Data Input'!B41)</f>
        <v>Users Up to Date on Training %</v>
      </c>
      <c r="C49" s="238">
        <f ca="1">IF(B49="",NA(),IFERROR(INDEX('Financial Data Input'!$B$7:$I$66,$A49,C$6),NA()))</f>
        <v>0</v>
      </c>
      <c r="D49" s="238">
        <f ca="1">IF(B49="",NA(),IFERROR(INDEX('Financial Data Input'!$B$7:$I$66,$A49,D$6),NA()))</f>
        <v>0</v>
      </c>
      <c r="E49" s="238">
        <f ca="1">IF(B49="",NA(),IFERROR(INDEX('Financial Data Input'!$B$7:$I$66,$A49,E$6),NA()))</f>
        <v>0</v>
      </c>
      <c r="F49" s="238">
        <f ca="1">IF(B49="",NA(),IFERROR(INDEX('Financial Data Input'!$B$7:$I$66,$A49,F$6),NA()))</f>
        <v>0</v>
      </c>
      <c r="G49" s="238">
        <f ca="1">IF(B49="",NA(),IFERROR(INDEX('Financial Data Input'!$B$7:$I$66,$A49,G$6),NA()))</f>
        <v>0</v>
      </c>
    </row>
    <row r="50" spans="1:7" ht="19.5" customHeight="1" x14ac:dyDescent="0.25">
      <c r="A50" s="238">
        <f>ROWS($B$15:B50)</f>
        <v>36</v>
      </c>
      <c r="B50" s="238" t="str">
        <f>IF('Financial Data Input'!B42=0,"",'Financial Data Input'!B42)</f>
        <v>Final Approvers #</v>
      </c>
      <c r="C50" s="238">
        <f ca="1">IF(B50="",NA(),IFERROR(INDEX('Financial Data Input'!$B$7:$I$66,$A50,C$6),NA()))</f>
        <v>5</v>
      </c>
      <c r="D50" s="238">
        <f ca="1">IF(B50="",NA(),IFERROR(INDEX('Financial Data Input'!$B$7:$I$66,$A50,D$6),NA()))</f>
        <v>0</v>
      </c>
      <c r="E50" s="238">
        <f ca="1">IF(B50="",NA(),IFERROR(INDEX('Financial Data Input'!$B$7:$I$66,$A50,E$6),NA()))</f>
        <v>7</v>
      </c>
      <c r="F50" s="238">
        <f ca="1">IF(B50="",NA(),IFERROR(INDEX('Financial Data Input'!$B$7:$I$66,$A50,F$6),NA()))</f>
        <v>7</v>
      </c>
      <c r="G50" s="238">
        <f ca="1">IF(B50="",NA(),IFERROR(INDEX('Financial Data Input'!$B$7:$I$66,$A50,G$6),NA()))</f>
        <v>7</v>
      </c>
    </row>
    <row r="51" spans="1:7" ht="19.5" customHeight="1" x14ac:dyDescent="0.25">
      <c r="A51" s="238">
        <f>ROWS($B$15:B51)</f>
        <v>37</v>
      </c>
      <c r="B51" s="238" t="str">
        <f>IF('Financial Data Input'!B43=0,"",'Financial Data Input'!B43)</f>
        <v>Final Approvers Up to Date on Training #</v>
      </c>
      <c r="C51" s="238">
        <f ca="1">IF(B51="",NA(),IFERROR(INDEX('Financial Data Input'!$B$7:$I$66,$A51,C$6),NA()))</f>
        <v>4</v>
      </c>
      <c r="D51" s="238">
        <f ca="1">IF(B51="",NA(),IFERROR(INDEX('Financial Data Input'!$B$7:$I$66,$A51,D$6),NA()))</f>
        <v>0</v>
      </c>
      <c r="E51" s="238">
        <f ca="1">IF(B51="",NA(),IFERROR(INDEX('Financial Data Input'!$B$7:$I$66,$A51,E$6),NA()))</f>
        <v>4</v>
      </c>
      <c r="F51" s="238">
        <f ca="1">IF(B51="",NA(),IFERROR(INDEX('Financial Data Input'!$B$7:$I$66,$A51,F$6),NA()))</f>
        <v>6</v>
      </c>
      <c r="G51" s="238">
        <f ca="1">IF(B51="",NA(),IFERROR(INDEX('Financial Data Input'!$B$7:$I$66,$A51,G$6),NA()))</f>
        <v>5</v>
      </c>
    </row>
    <row r="52" spans="1:7" ht="19.5" customHeight="1" x14ac:dyDescent="0.25">
      <c r="A52" s="238">
        <f>ROWS($B$15:B52)</f>
        <v>38</v>
      </c>
      <c r="B52" s="238" t="str">
        <f>IF('Financial Data Input'!B44=0,"",'Financial Data Input'!B44)</f>
        <v>Final Approvers Up to Date on Training %</v>
      </c>
      <c r="C52" s="238">
        <f ca="1">IF(B52="",NA(),IFERROR(INDEX('Financial Data Input'!$B$7:$I$66,$A52,C$6),NA()))</f>
        <v>0.8</v>
      </c>
      <c r="D52" s="238">
        <f ca="1">IF(B52="",NA(),IFERROR(INDEX('Financial Data Input'!$B$7:$I$66,$A52,D$6),NA()))</f>
        <v>0</v>
      </c>
      <c r="E52" s="238">
        <f ca="1">IF(B52="",NA(),IFERROR(INDEX('Financial Data Input'!$B$7:$I$66,$A52,E$6),NA()))</f>
        <v>0.5714285714285714</v>
      </c>
      <c r="F52" s="238">
        <f ca="1">IF(B52="",NA(),IFERROR(INDEX('Financial Data Input'!$B$7:$I$66,$A52,F$6),NA()))</f>
        <v>0.8571428571428571</v>
      </c>
      <c r="G52" s="238">
        <f ca="1">IF(B52="",NA(),IFERROR(INDEX('Financial Data Input'!$B$7:$I$66,$A52,G$6),NA()))</f>
        <v>0.7142857142857143</v>
      </c>
    </row>
    <row r="53" spans="1:7" ht="19.5" customHeight="1" x14ac:dyDescent="0.25">
      <c r="A53" s="238">
        <f>ROWS($B$15:B53)</f>
        <v>39</v>
      </c>
      <c r="B53" s="238" t="str">
        <f>IF('Financial Data Input'!B45=0,"",'Financial Data Input'!B45)</f>
        <v>Gift Fund Balance $</v>
      </c>
      <c r="C53" s="238">
        <f ca="1">IF(B53="",NA(),IFERROR(INDEX('Financial Data Input'!$B$7:$I$66,$A53,C$6),NA()))</f>
        <v>3347.6185099999998</v>
      </c>
      <c r="D53" s="238">
        <f ca="1">IF(B53="",NA(),IFERROR(INDEX('Financial Data Input'!$B$7:$I$66,$A53,D$6),NA()))</f>
        <v>4079.114</v>
      </c>
      <c r="E53" s="238">
        <f ca="1">IF(B53="",NA(),IFERROR(INDEX('Financial Data Input'!$B$7:$I$66,$A53,E$6),NA()))</f>
        <v>4201.4812699999993</v>
      </c>
      <c r="F53" s="238">
        <f ca="1">IF(B53="",NA(),IFERROR(INDEX('Financial Data Input'!$B$7:$I$66,$A53,F$6),NA()))</f>
        <v>4325.7166299999999</v>
      </c>
      <c r="G53" s="238">
        <f ca="1">IF(B53="",NA(),IFERROR(INDEX('Financial Data Input'!$B$7:$I$66,$A53,G$6),NA()))</f>
        <v>4280.3485799999989</v>
      </c>
    </row>
    <row r="54" spans="1:7" ht="19.5" customHeight="1" x14ac:dyDescent="0.25">
      <c r="A54" s="238">
        <f>ROWS($B$15:B54)</f>
        <v>40</v>
      </c>
      <c r="B54" s="238" t="str">
        <f>IF('Financial Data Input'!B46=0,"",'Financial Data Input'!B46)</f>
        <v>No Expenses &gt; 5 years #</v>
      </c>
      <c r="C54" s="238">
        <f ca="1">IF(B54="",NA(),IFERROR(INDEX('Financial Data Input'!$B$7:$I$66,$A54,C$6),NA()))</f>
        <v>0</v>
      </c>
      <c r="D54" s="238">
        <f ca="1">IF(B54="",NA(),IFERROR(INDEX('Financial Data Input'!$B$7:$I$66,$A54,D$6),NA()))</f>
        <v>3</v>
      </c>
      <c r="E54" s="238">
        <f ca="1">IF(B54="",NA(),IFERROR(INDEX('Financial Data Input'!$B$7:$I$66,$A54,E$6),NA()))</f>
        <v>4</v>
      </c>
      <c r="F54" s="238">
        <f ca="1">IF(B54="",NA(),IFERROR(INDEX('Financial Data Input'!$B$7:$I$66,$A54,F$6),NA()))</f>
        <v>3</v>
      </c>
      <c r="G54" s="238">
        <f ca="1">IF(B54="",NA(),IFERROR(INDEX('Financial Data Input'!$B$7:$I$66,$A54,G$6),NA()))</f>
        <v>2</v>
      </c>
    </row>
    <row r="55" spans="1:7" ht="19.5" customHeight="1" x14ac:dyDescent="0.25">
      <c r="A55" s="238">
        <f>ROWS($B$15:B55)</f>
        <v>41</v>
      </c>
      <c r="B55" s="238" t="str">
        <f>IF('Financial Data Input'!B47=0,"",'Financial Data Input'!B47)</f>
        <v>No Expenses &gt; 5 years Balance $</v>
      </c>
      <c r="C55" s="238">
        <f ca="1">IF(B55="",NA(),IFERROR(INDEX('Financial Data Input'!$B$7:$I$66,$A55,C$6),NA()))</f>
        <v>0</v>
      </c>
      <c r="D55" s="238">
        <f ca="1">IF(B55="",NA(),IFERROR(INDEX('Financial Data Input'!$B$7:$I$66,$A55,D$6),NA()))</f>
        <v>50.424160000000001</v>
      </c>
      <c r="E55" s="238">
        <f ca="1">IF(B55="",NA(),IFERROR(INDEX('Financial Data Input'!$B$7:$I$66,$A55,E$6),NA()))</f>
        <v>179.09504000000001</v>
      </c>
      <c r="F55" s="238">
        <f ca="1">IF(B55="",NA(),IFERROR(INDEX('Financial Data Input'!$B$7:$I$66,$A55,F$6),NA()))</f>
        <v>337.72307000000001</v>
      </c>
      <c r="G55" s="238">
        <f ca="1">IF(B55="",NA(),IFERROR(INDEX('Financial Data Input'!$B$7:$I$66,$A55,G$6),NA()))</f>
        <v>69.670140000000004</v>
      </c>
    </row>
    <row r="56" spans="1:7" ht="19.5" customHeight="1" x14ac:dyDescent="0.25">
      <c r="A56" s="238">
        <f>ROWS($B$15:B56)</f>
        <v>42</v>
      </c>
      <c r="B56" s="238" t="str">
        <f>IF('Financial Data Input'!B48=0,"",'Financial Data Input'!B48)</f>
        <v>Total Disbursed $</v>
      </c>
      <c r="C56" s="238">
        <f ca="1">IF(B56="",NA(),IFERROR(INDEX('Financial Data Input'!$B$7:$I$66,$A56,C$6),NA()))</f>
        <v>687.73800000000006</v>
      </c>
      <c r="D56" s="238">
        <f ca="1">IF(B56="",NA(),IFERROR(INDEX('Financial Data Input'!$B$7:$I$66,$A56,D$6),NA()))</f>
        <v>1392.0730000000001</v>
      </c>
      <c r="E56" s="238">
        <f ca="1">IF(B56="",NA(),IFERROR(INDEX('Financial Data Input'!$B$7:$I$66,$A56,E$6),NA()))</f>
        <v>1396.538</v>
      </c>
      <c r="F56" s="238">
        <f ca="1">IF(B56="",NA(),IFERROR(INDEX('Financial Data Input'!$B$7:$I$66,$A56,F$6),NA()))</f>
        <v>1249.3119999999999</v>
      </c>
      <c r="G56" s="238">
        <f ca="1">IF(B56="",NA(),IFERROR(INDEX('Financial Data Input'!$B$7:$I$66,$A56,G$6),NA()))</f>
        <v>1347.4111299999972</v>
      </c>
    </row>
    <row r="57" spans="1:7" ht="19.5" customHeight="1" x14ac:dyDescent="0.25">
      <c r="A57" s="238">
        <f>ROWS($B$15:B57)</f>
        <v>43</v>
      </c>
      <c r="B57" s="238" t="str">
        <f>IF('Financial Data Input'!B49=0,"",'Financial Data Input'!B49)</f>
        <v>Overrides $</v>
      </c>
      <c r="C57" s="238">
        <f ca="1">IF(B57="",NA(),IFERROR(INDEX('Financial Data Input'!$B$7:$I$66,$A57,C$6),NA()))</f>
        <v>195.91300000000001</v>
      </c>
      <c r="D57" s="238">
        <f ca="1">IF(B57="",NA(),IFERROR(INDEX('Financial Data Input'!$B$7:$I$66,$A57,D$6),NA()))</f>
        <v>56.515000000000001</v>
      </c>
      <c r="E57" s="238">
        <f ca="1">IF(B57="",NA(),IFERROR(INDEX('Financial Data Input'!$B$7:$I$66,$A57,E$6),NA()))</f>
        <v>110.074</v>
      </c>
      <c r="F57" s="238">
        <f ca="1">IF(B57="",NA(),IFERROR(INDEX('Financial Data Input'!$B$7:$I$66,$A57,F$6),NA()))</f>
        <v>138.71299999999999</v>
      </c>
      <c r="G57" s="238">
        <f ca="1">IF(B57="",NA(),IFERROR(INDEX('Financial Data Input'!$B$7:$I$66,$A57,G$6),NA()))</f>
        <v>275.05</v>
      </c>
    </row>
    <row r="58" spans="1:7" ht="19.5" customHeight="1" x14ac:dyDescent="0.25">
      <c r="A58" s="238">
        <f>ROWS($B$15:B58)</f>
        <v>44</v>
      </c>
      <c r="B58" s="238" t="str">
        <f>IF('Financial Data Input'!B50=0,"",'Financial Data Input'!B50)</f>
        <v>Overrides %</v>
      </c>
      <c r="C58" s="238">
        <f ca="1">IF(B58="",NA(),IFERROR(INDEX('Financial Data Input'!$B$7:$I$66,$A58,C$6),NA()))</f>
        <v>0.28486574829368161</v>
      </c>
      <c r="D58" s="238">
        <f ca="1">IF(B58="",NA(),IFERROR(INDEX('Financial Data Input'!$B$7:$I$66,$A58,D$6),NA()))</f>
        <v>4.0597727274359896E-2</v>
      </c>
      <c r="E58" s="238">
        <f ca="1">IF(B58="",NA(),IFERROR(INDEX('Financial Data Input'!$B$7:$I$66,$A58,E$6),NA()))</f>
        <v>7.881919432195901E-2</v>
      </c>
      <c r="F58" s="238">
        <f ca="1">IF(B58="",NA(),IFERROR(INDEX('Financial Data Input'!$B$7:$I$66,$A58,F$6),NA()))</f>
        <v>0.11103151174406393</v>
      </c>
      <c r="G58" s="238">
        <f ca="1">IF(B58="",NA(),IFERROR(INDEX('Financial Data Input'!$B$7:$I$66,$A58,G$6),NA()))</f>
        <v>0.20413220128291545</v>
      </c>
    </row>
    <row r="59" spans="1:7" ht="19.5" customHeight="1" x14ac:dyDescent="0.25">
      <c r="A59" s="238">
        <f>ROWS($B$15:B59)</f>
        <v>45</v>
      </c>
      <c r="B59" s="238" t="str">
        <f>IF('Financial Data Input'!B51=0,"",'Financial Data Input'!B51)</f>
        <v>No Disbursement Rules Applied (DR4) $</v>
      </c>
      <c r="C59" s="238">
        <f ca="1">IF(B59="",NA(),IFERROR(INDEX('Financial Data Input'!$B$7:$I$66,$A59,C$6),NA()))</f>
        <v>338.51299999999998</v>
      </c>
      <c r="D59" s="238">
        <f ca="1">IF(B59="",NA(),IFERROR(INDEX('Financial Data Input'!$B$7:$I$66,$A59,D$6),NA()))</f>
        <v>660.41099999999994</v>
      </c>
      <c r="E59" s="238">
        <f ca="1">IF(B59="",NA(),IFERROR(INDEX('Financial Data Input'!$B$7:$I$66,$A59,E$6),NA()))</f>
        <v>583.29899999999998</v>
      </c>
      <c r="F59" s="238">
        <f ca="1">IF(B59="",NA(),IFERROR(INDEX('Financial Data Input'!$B$7:$I$66,$A59,F$6),NA()))</f>
        <v>513.52599999999995</v>
      </c>
      <c r="G59" s="238">
        <f ca="1">IF(B59="",NA(),IFERROR(INDEX('Financial Data Input'!$B$7:$I$66,$A59,G$6),NA()))</f>
        <v>472.48700000000002</v>
      </c>
    </row>
    <row r="60" spans="1:7" ht="19.5" customHeight="1" x14ac:dyDescent="0.25">
      <c r="A60" s="238">
        <f>ROWS($B$15:B60)</f>
        <v>46</v>
      </c>
      <c r="B60" s="238" t="str">
        <f>IF('Financial Data Input'!B52=0,"",'Financial Data Input'!B52)</f>
        <v>No Disbursement Rules Applied (DR4) %</v>
      </c>
      <c r="C60" s="238">
        <f ca="1">IF(B60="",NA(),IFERROR(INDEX('Financial Data Input'!$B$7:$I$66,$A60,C$6),NA()))</f>
        <v>0.49221215055733436</v>
      </c>
      <c r="D60" s="238">
        <f ca="1">IF(B60="",NA(),IFERROR(INDEX('Financial Data Input'!$B$7:$I$66,$A60,D$6),NA()))</f>
        <v>0.47440831048371745</v>
      </c>
      <c r="E60" s="238">
        <f ca="1">IF(B60="",NA(),IFERROR(INDEX('Financial Data Input'!$B$7:$I$66,$A60,E$6),NA()))</f>
        <v>0.41767499344808379</v>
      </c>
      <c r="F60" s="238">
        <f ca="1">IF(B60="",NA(),IFERROR(INDEX('Financial Data Input'!$B$7:$I$66,$A60,F$6),NA()))</f>
        <v>0.41104704029097616</v>
      </c>
      <c r="G60" s="238">
        <f ca="1">IF(B60="",NA(),IFERROR(INDEX('Financial Data Input'!$B$7:$I$66,$A60,G$6),NA()))</f>
        <v>0.35066282998567849</v>
      </c>
    </row>
    <row r="61" spans="1:7" ht="19.5" customHeight="1" x14ac:dyDescent="0.25">
      <c r="A61" s="238">
        <f>ROWS($B$15:B61)</f>
        <v>47</v>
      </c>
      <c r="B61" s="238" t="str">
        <f>IF('Financial Data Input'!B53=0,"",'Financial Data Input'!B53)</f>
        <v>Non Traditional Students #</v>
      </c>
      <c r="C61" s="238">
        <f ca="1">IF(B61="",NA(),IFERROR(INDEX('Financial Data Input'!$B$7:$I$66,$A61,C$6),NA()))</f>
        <v>8</v>
      </c>
      <c r="D61" s="238">
        <f ca="1">IF(B61="",NA(),IFERROR(INDEX('Financial Data Input'!$B$7:$I$66,$A61,D$6),NA()))</f>
        <v>12</v>
      </c>
      <c r="E61" s="238">
        <f ca="1">IF(B61="",NA(),IFERROR(INDEX('Financial Data Input'!$B$7:$I$66,$A61,E$6),NA()))</f>
        <v>22</v>
      </c>
      <c r="F61" s="238">
        <f ca="1">IF(B61="",NA(),IFERROR(INDEX('Financial Data Input'!$B$7:$I$66,$A61,F$6),NA()))</f>
        <v>30</v>
      </c>
      <c r="G61" s="238">
        <f ca="1">IF(B61="",NA(),IFERROR(INDEX('Financial Data Input'!$B$7:$I$66,$A61,G$6),NA()))</f>
        <v>32</v>
      </c>
    </row>
    <row r="62" spans="1:7" ht="19.5" customHeight="1" x14ac:dyDescent="0.25">
      <c r="A62" s="238">
        <f>ROWS($B$15:B62)</f>
        <v>48</v>
      </c>
      <c r="B62" s="238" t="str">
        <f>IF('Financial Data Input'!B54=0,"",'Financial Data Input'!B54)</f>
        <v>Non Traditional Students $</v>
      </c>
      <c r="C62" s="238">
        <f ca="1">IF(B62="",NA(),IFERROR(INDEX('Financial Data Input'!$B$7:$I$66,$A62,C$6),NA()))</f>
        <v>25.905000000000001</v>
      </c>
      <c r="D62" s="238">
        <f ca="1">IF(B62="",NA(),IFERROR(INDEX('Financial Data Input'!$B$7:$I$66,$A62,D$6),NA()))</f>
        <v>66.052999999999997</v>
      </c>
      <c r="E62" s="238">
        <f ca="1">IF(B62="",NA(),IFERROR(INDEX('Financial Data Input'!$B$7:$I$66,$A62,E$6),NA()))</f>
        <v>64.756</v>
      </c>
      <c r="F62" s="238">
        <f ca="1">IF(B62="",NA(),IFERROR(INDEX('Financial Data Input'!$B$7:$I$66,$A62,F$6),NA()))</f>
        <v>166.39</v>
      </c>
      <c r="G62" s="238">
        <f ca="1">IF(B62="",NA(),IFERROR(INDEX('Financial Data Input'!$B$7:$I$66,$A62,G$6),NA()))</f>
        <v>162.489</v>
      </c>
    </row>
    <row r="63" spans="1:7" ht="19.5" customHeight="1" x14ac:dyDescent="0.25">
      <c r="A63" s="238">
        <f>ROWS($B$15:B63)</f>
        <v>49</v>
      </c>
      <c r="B63" s="238" t="str">
        <f>IF('Financial Data Input'!B55=0,"",'Financial Data Input'!B55)</f>
        <v>Total Assets #</v>
      </c>
      <c r="C63" s="238">
        <f ca="1">IF(B63="",NA(),IFERROR(INDEX('Financial Data Input'!$B$7:$I$66,$A63,C$6),NA()))</f>
        <v>0</v>
      </c>
      <c r="D63" s="238">
        <f ca="1">IF(B63="",NA(),IFERROR(INDEX('Financial Data Input'!$B$7:$I$66,$A63,D$6),NA()))</f>
        <v>0</v>
      </c>
      <c r="E63" s="238">
        <f ca="1">IF(B63="",NA(),IFERROR(INDEX('Financial Data Input'!$B$7:$I$66,$A63,E$6),NA()))</f>
        <v>455</v>
      </c>
      <c r="F63" s="238">
        <f ca="1">IF(B63="",NA(),IFERROR(INDEX('Financial Data Input'!$B$7:$I$66,$A63,F$6),NA()))</f>
        <v>490</v>
      </c>
      <c r="G63" s="238">
        <f ca="1">IF(B63="",NA(),IFERROR(INDEX('Financial Data Input'!$B$7:$I$66,$A63,G$6),NA()))</f>
        <v>518</v>
      </c>
    </row>
    <row r="64" spans="1:7" ht="19.5" customHeight="1" x14ac:dyDescent="0.25">
      <c r="A64" s="238">
        <f>ROWS($B$15:B64)</f>
        <v>50</v>
      </c>
      <c r="B64" s="238" t="str">
        <f>IF('Financial Data Input'!B56=0,"",'Financial Data Input'!B56)</f>
        <v>Blank Custodians #</v>
      </c>
      <c r="C64" s="238">
        <f ca="1">IF(B64="",NA(),IFERROR(INDEX('Financial Data Input'!$B$7:$I$66,$A64,C$6),NA()))</f>
        <v>0</v>
      </c>
      <c r="D64" s="238">
        <f ca="1">IF(B64="",NA(),IFERROR(INDEX('Financial Data Input'!$B$7:$I$66,$A64,D$6),NA()))</f>
        <v>0</v>
      </c>
      <c r="E64" s="238">
        <f ca="1">IF(B64="",NA(),IFERROR(INDEX('Financial Data Input'!$B$7:$I$66,$A64,E$6),NA()))</f>
        <v>0</v>
      </c>
      <c r="F64" s="238">
        <f ca="1">IF(B64="",NA(),IFERROR(INDEX('Financial Data Input'!$B$7:$I$66,$A64,F$6),NA()))</f>
        <v>386</v>
      </c>
      <c r="G64" s="238">
        <f ca="1">IF(B64="",NA(),IFERROR(INDEX('Financial Data Input'!$B$7:$I$66,$A64,G$6),NA()))</f>
        <v>2</v>
      </c>
    </row>
    <row r="65" spans="1:7" ht="19.5" customHeight="1" x14ac:dyDescent="0.25">
      <c r="A65" s="238">
        <f>ROWS($B$15:B65)</f>
        <v>51</v>
      </c>
      <c r="B65" s="238" t="str">
        <f>IF('Financial Data Input'!B57=0,"",'Financial Data Input'!B57)</f>
        <v>Blank Custodians %</v>
      </c>
      <c r="C65" s="238">
        <f ca="1">IF(B65="",NA(),IFERROR(INDEX('Financial Data Input'!$B$7:$I$66,$A65,C$6),NA()))</f>
        <v>0</v>
      </c>
      <c r="D65" s="238">
        <f ca="1">IF(B65="",NA(),IFERROR(INDEX('Financial Data Input'!$B$7:$I$66,$A65,D$6),NA()))</f>
        <v>0</v>
      </c>
      <c r="E65" s="238">
        <f ca="1">IF(B65="",NA(),IFERROR(INDEX('Financial Data Input'!$B$7:$I$66,$A65,E$6),NA()))</f>
        <v>0</v>
      </c>
      <c r="F65" s="238">
        <f ca="1">IF(B65="",NA(),IFERROR(INDEX('Financial Data Input'!$B$7:$I$66,$A65,F$6),NA()))</f>
        <v>0.78775510204081634</v>
      </c>
      <c r="G65" s="238">
        <f ca="1">IF(B65="",NA(),IFERROR(INDEX('Financial Data Input'!$B$7:$I$66,$A65,G$6),NA()))</f>
        <v>3.8610038610038611E-3</v>
      </c>
    </row>
    <row r="66" spans="1:7" ht="19.5" customHeight="1" x14ac:dyDescent="0.25">
      <c r="A66" s="238">
        <f>ROWS($B$15:B66)</f>
        <v>52</v>
      </c>
      <c r="B66" s="238" t="str">
        <f>IF('Financial Data Input'!B58=0,"",'Financial Data Input'!B58)</f>
        <v>Unused Metric</v>
      </c>
      <c r="C66" s="238">
        <f ca="1">IF(B66="",NA(),IFERROR(INDEX('Financial Data Input'!$B$7:$I$66,$A66,C$6),NA()))</f>
        <v>0</v>
      </c>
      <c r="D66" s="238">
        <f ca="1">IF(B66="",NA(),IFERROR(INDEX('Financial Data Input'!$B$7:$I$66,$A66,D$6),NA()))</f>
        <v>0</v>
      </c>
      <c r="E66" s="238">
        <f ca="1">IF(B66="",NA(),IFERROR(INDEX('Financial Data Input'!$B$7:$I$66,$A66,E$6),NA()))</f>
        <v>0</v>
      </c>
      <c r="F66" s="238">
        <f ca="1">IF(B66="",NA(),IFERROR(INDEX('Financial Data Input'!$B$7:$I$66,$A66,F$6),NA()))</f>
        <v>0</v>
      </c>
      <c r="G66" s="238">
        <f ca="1">IF(B66="",NA(),IFERROR(INDEX('Financial Data Input'!$B$7:$I$66,$A66,G$6),NA()))</f>
        <v>0</v>
      </c>
    </row>
    <row r="67" spans="1:7" ht="19.5" customHeight="1" x14ac:dyDescent="0.25">
      <c r="A67" s="238">
        <f>ROWS($B$15:B67)</f>
        <v>53</v>
      </c>
      <c r="B67" s="238" t="str">
        <f>IF('Financial Data Input'!B59=0,"",'Financial Data Input'!B59)</f>
        <v>Total Assets #</v>
      </c>
      <c r="C67" s="238">
        <f ca="1">IF(B67="",NA(),IFERROR(INDEX('Financial Data Input'!$B$7:$I$66,$A67,C$6),NA()))</f>
        <v>0</v>
      </c>
      <c r="D67" s="238">
        <f ca="1">IF(B67="",NA(),IFERROR(INDEX('Financial Data Input'!$B$7:$I$66,$A67,D$6),NA()))</f>
        <v>0</v>
      </c>
      <c r="E67" s="238">
        <f ca="1">IF(B67="",NA(),IFERROR(INDEX('Financial Data Input'!$B$7:$I$66,$A67,E$6),NA()))</f>
        <v>122</v>
      </c>
      <c r="F67" s="238">
        <f ca="1">IF(B67="",NA(),IFERROR(INDEX('Financial Data Input'!$B$7:$I$66,$A67,F$6),NA()))</f>
        <v>121</v>
      </c>
      <c r="G67" s="238">
        <f ca="1">IF(B67="",NA(),IFERROR(INDEX('Financial Data Input'!$B$7:$I$66,$A67,G$6),NA()))</f>
        <v>128</v>
      </c>
    </row>
    <row r="68" spans="1:7" ht="19.5" customHeight="1" x14ac:dyDescent="0.25">
      <c r="A68" s="238">
        <f>ROWS($B$15:B68)</f>
        <v>54</v>
      </c>
      <c r="B68" s="238" t="str">
        <f>IF('Financial Data Input'!B60=0,"",'Financial Data Input'!B60)</f>
        <v>% of Total Assets</v>
      </c>
      <c r="C68" s="238">
        <f ca="1">IF(B68="",NA(),IFERROR(INDEX('Financial Data Input'!$B$7:$I$66,$A68,C$6),NA()))</f>
        <v>0</v>
      </c>
      <c r="D68" s="238">
        <f ca="1">IF(B68="",NA(),IFERROR(INDEX('Financial Data Input'!$B$7:$I$66,$A68,D$6),NA()))</f>
        <v>0</v>
      </c>
      <c r="E68" s="238">
        <f ca="1">IF(B68="",NA(),IFERROR(INDEX('Financial Data Input'!$B$7:$I$66,$A68,E$6),NA()))</f>
        <v>0.26813186813186812</v>
      </c>
      <c r="F68" s="238">
        <f ca="1">IF(B68="",NA(),IFERROR(INDEX('Financial Data Input'!$B$7:$I$66,$A68,F$6),NA()))</f>
        <v>0.24693877551020407</v>
      </c>
      <c r="G68" s="238">
        <f ca="1">IF(B68="",NA(),IFERROR(INDEX('Financial Data Input'!$B$7:$I$66,$A68,G$6),NA()))</f>
        <v>0.24710424710424711</v>
      </c>
    </row>
    <row r="69" spans="1:7" ht="19.5" customHeight="1" x14ac:dyDescent="0.25">
      <c r="A69" s="238">
        <f>ROWS($B$15:B69)</f>
        <v>55</v>
      </c>
      <c r="B69" s="238" t="str">
        <f>IF('Financial Data Input'!B61=0,"",'Financial Data Input'!B61)</f>
        <v>Unused Metric</v>
      </c>
      <c r="C69" s="238">
        <f ca="1">IF(B69="",NA(),IFERROR(INDEX('Financial Data Input'!$B$7:$I$66,$A69,C$6),NA()))</f>
        <v>0</v>
      </c>
      <c r="D69" s="238">
        <f ca="1">IF(B69="",NA(),IFERROR(INDEX('Financial Data Input'!$B$7:$I$66,$A69,D$6),NA()))</f>
        <v>0</v>
      </c>
      <c r="E69" s="238">
        <f ca="1">IF(B69="",NA(),IFERROR(INDEX('Financial Data Input'!$B$7:$I$66,$A69,E$6),NA()))</f>
        <v>0</v>
      </c>
      <c r="F69" s="238">
        <f ca="1">IF(B69="",NA(),IFERROR(INDEX('Financial Data Input'!$B$7:$I$66,$A69,F$6),NA()))</f>
        <v>0</v>
      </c>
      <c r="G69" s="238">
        <f ca="1">IF(B69="",NA(),IFERROR(INDEX('Financial Data Input'!$B$7:$I$66,$A69,G$6),NA()))</f>
        <v>0</v>
      </c>
    </row>
    <row r="70" spans="1:7" ht="19.5" customHeight="1" x14ac:dyDescent="0.25">
      <c r="A70" s="238">
        <f>ROWS($B$15:B70)</f>
        <v>56</v>
      </c>
      <c r="B70" s="238" t="str">
        <f>IF('Financial Data Input'!B62=0,"",'Financial Data Input'!B62)</f>
        <v>Unused Metric</v>
      </c>
      <c r="C70" s="238">
        <f ca="1">IF(B70="",NA(),IFERROR(INDEX('Financial Data Input'!$B$7:$I$66,$A70,C$6),NA()))</f>
        <v>0</v>
      </c>
      <c r="D70" s="238">
        <f ca="1">IF(B70="",NA(),IFERROR(INDEX('Financial Data Input'!$B$7:$I$66,$A70,D$6),NA()))</f>
        <v>0</v>
      </c>
      <c r="E70" s="238">
        <f ca="1">IF(B70="",NA(),IFERROR(INDEX('Financial Data Input'!$B$7:$I$66,$A70,E$6),NA()))</f>
        <v>0</v>
      </c>
      <c r="F70" s="238">
        <f ca="1">IF(B70="",NA(),IFERROR(INDEX('Financial Data Input'!$B$7:$I$66,$A70,F$6),NA()))</f>
        <v>0</v>
      </c>
      <c r="G70" s="238">
        <f ca="1">IF(B70="",NA(),IFERROR(INDEX('Financial Data Input'!$B$7:$I$66,$A70,G$6),NA()))</f>
        <v>0</v>
      </c>
    </row>
    <row r="71" spans="1:7" ht="19.5" customHeight="1" x14ac:dyDescent="0.25">
      <c r="A71" s="238">
        <f>ROWS($B$15:B71)</f>
        <v>57</v>
      </c>
      <c r="B71" s="238" t="str">
        <f>IF('Financial Data Input'!B63=0,"",'Financial Data Input'!B63)</f>
        <v>Unused Metric</v>
      </c>
      <c r="C71" s="238">
        <f ca="1">IF(B71="",NA(),IFERROR(INDEX('Financial Data Input'!$B$7:$I$66,$A71,C$6),NA()))</f>
        <v>0</v>
      </c>
      <c r="D71" s="238">
        <f ca="1">IF(B71="",NA(),IFERROR(INDEX('Financial Data Input'!$B$7:$I$66,$A71,D$6),NA()))</f>
        <v>0</v>
      </c>
      <c r="E71" s="238">
        <f ca="1">IF(B71="",NA(),IFERROR(INDEX('Financial Data Input'!$B$7:$I$66,$A71,E$6),NA()))</f>
        <v>0</v>
      </c>
      <c r="F71" s="238">
        <f ca="1">IF(B71="",NA(),IFERROR(INDEX('Financial Data Input'!$B$7:$I$66,$A71,F$6),NA()))</f>
        <v>0</v>
      </c>
      <c r="G71" s="238">
        <f ca="1">IF(B71="",NA(),IFERROR(INDEX('Financial Data Input'!$B$7:$I$66,$A71,G$6),NA()))</f>
        <v>0</v>
      </c>
    </row>
    <row r="72" spans="1:7" ht="19.5" customHeight="1" x14ac:dyDescent="0.25">
      <c r="A72" s="238">
        <f>ROWS($B$15:B72)</f>
        <v>58</v>
      </c>
      <c r="B72" s="238" t="str">
        <f>IF('Financial Data Input'!B64=0,"",'Financial Data Input'!B64)</f>
        <v>METRIC 49</v>
      </c>
      <c r="C72" s="238">
        <f ca="1">IF(B72="",NA(),IFERROR(INDEX('Financial Data Input'!$B$7:$I$66,$A72,C$6),NA()))</f>
        <v>0</v>
      </c>
      <c r="D72" s="238">
        <f ca="1">IF(B72="",NA(),IFERROR(INDEX('Financial Data Input'!$B$7:$I$66,$A72,D$6),NA()))</f>
        <v>0</v>
      </c>
      <c r="E72" s="238">
        <f ca="1">IF(B72="",NA(),IFERROR(INDEX('Financial Data Input'!$B$7:$I$66,$A72,E$6),NA()))</f>
        <v>0</v>
      </c>
      <c r="F72" s="238">
        <f ca="1">IF(B72="",NA(),IFERROR(INDEX('Financial Data Input'!$B$7:$I$66,$A72,F$6),NA()))</f>
        <v>0</v>
      </c>
      <c r="G72" s="238">
        <f ca="1">IF(B72="",NA(),IFERROR(INDEX('Financial Data Input'!$B$7:$I$66,$A72,G$6),NA()))</f>
        <v>0</v>
      </c>
    </row>
    <row r="73" spans="1:7" ht="19.5" customHeight="1" x14ac:dyDescent="0.25">
      <c r="A73" s="238">
        <f>ROWS($B$15:B73)</f>
        <v>59</v>
      </c>
      <c r="B73" s="238" t="str">
        <f>IF('Financial Data Input'!B65=0,"",'Financial Data Input'!B65)</f>
        <v>METRIC 50</v>
      </c>
      <c r="C73" s="238">
        <f ca="1">IF(B73="",NA(),IFERROR(INDEX('Financial Data Input'!$B$7:$I$66,$A73,C$6),NA()))</f>
        <v>0</v>
      </c>
      <c r="D73" s="238">
        <f ca="1">IF(B73="",NA(),IFERROR(INDEX('Financial Data Input'!$B$7:$I$66,$A73,D$6),NA()))</f>
        <v>0</v>
      </c>
      <c r="E73" s="238">
        <f ca="1">IF(B73="",NA(),IFERROR(INDEX('Financial Data Input'!$B$7:$I$66,$A73,E$6),NA()))</f>
        <v>0</v>
      </c>
      <c r="F73" s="238">
        <f ca="1">IF(B73="",NA(),IFERROR(INDEX('Financial Data Input'!$B$7:$I$66,$A73,F$6),NA()))</f>
        <v>0</v>
      </c>
      <c r="G73" s="238">
        <f ca="1">IF(B73="",NA(),IFERROR(INDEX('Financial Data Input'!$B$7:$I$66,$A73,G$6),NA()))</f>
        <v>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47"/>
  <sheetViews>
    <sheetView workbookViewId="0">
      <selection activeCell="C8" sqref="C8"/>
    </sheetView>
  </sheetViews>
  <sheetFormatPr defaultRowHeight="15" x14ac:dyDescent="0.25"/>
  <cols>
    <col min="1" max="1" width="49.28515625" bestFit="1" customWidth="1"/>
  </cols>
  <sheetData>
    <row r="1" spans="1:4" ht="18.75" x14ac:dyDescent="0.3">
      <c r="A1" s="235" t="s">
        <v>203</v>
      </c>
      <c r="D1" s="236" t="s">
        <v>204</v>
      </c>
    </row>
    <row r="2" spans="1:4" x14ac:dyDescent="0.25">
      <c r="A2" s="234" t="s">
        <v>0</v>
      </c>
      <c r="D2" s="236" t="s">
        <v>205</v>
      </c>
    </row>
    <row r="3" spans="1:4" x14ac:dyDescent="0.25">
      <c r="A3" s="17" t="s">
        <v>26</v>
      </c>
    </row>
    <row r="4" spans="1:4" x14ac:dyDescent="0.25">
      <c r="A4" s="17" t="s">
        <v>1</v>
      </c>
    </row>
    <row r="5" spans="1:4" x14ac:dyDescent="0.25">
      <c r="A5" s="17" t="s">
        <v>2</v>
      </c>
    </row>
    <row r="6" spans="1:4" x14ac:dyDescent="0.25">
      <c r="A6" s="17" t="s">
        <v>3</v>
      </c>
    </row>
    <row r="7" spans="1:4" x14ac:dyDescent="0.25">
      <c r="A7" s="17" t="s">
        <v>33</v>
      </c>
    </row>
    <row r="8" spans="1:4" x14ac:dyDescent="0.25">
      <c r="A8" s="17" t="s">
        <v>23</v>
      </c>
    </row>
    <row r="9" spans="1:4" x14ac:dyDescent="0.25">
      <c r="A9" s="17" t="s">
        <v>4</v>
      </c>
    </row>
    <row r="10" spans="1:4" x14ac:dyDescent="0.25">
      <c r="A10" s="17" t="s">
        <v>28</v>
      </c>
    </row>
    <row r="11" spans="1:4" x14ac:dyDescent="0.25">
      <c r="A11" s="17" t="s">
        <v>29</v>
      </c>
    </row>
    <row r="12" spans="1:4" x14ac:dyDescent="0.25">
      <c r="A12" s="17" t="s">
        <v>5</v>
      </c>
    </row>
    <row r="13" spans="1:4" x14ac:dyDescent="0.25">
      <c r="A13" s="17" t="s">
        <v>22</v>
      </c>
    </row>
    <row r="14" spans="1:4" x14ac:dyDescent="0.25">
      <c r="A14" s="17" t="s">
        <v>7</v>
      </c>
    </row>
    <row r="15" spans="1:4" x14ac:dyDescent="0.25">
      <c r="A15" s="17" t="s">
        <v>6</v>
      </c>
    </row>
    <row r="16" spans="1:4" x14ac:dyDescent="0.25">
      <c r="A16" s="17" t="s">
        <v>30</v>
      </c>
    </row>
    <row r="17" spans="1:1" x14ac:dyDescent="0.25">
      <c r="A17" s="17" t="s">
        <v>8</v>
      </c>
    </row>
    <row r="18" spans="1:1" x14ac:dyDescent="0.25">
      <c r="A18" s="17" t="s">
        <v>9</v>
      </c>
    </row>
    <row r="19" spans="1:1" x14ac:dyDescent="0.25">
      <c r="A19" s="17" t="s">
        <v>24</v>
      </c>
    </row>
    <row r="20" spans="1:1" x14ac:dyDescent="0.25">
      <c r="A20" s="17" t="s">
        <v>25</v>
      </c>
    </row>
    <row r="21" spans="1:1" x14ac:dyDescent="0.25">
      <c r="A21" s="17" t="s">
        <v>34</v>
      </c>
    </row>
    <row r="22" spans="1:1" x14ac:dyDescent="0.25">
      <c r="A22" s="17" t="s">
        <v>10</v>
      </c>
    </row>
    <row r="23" spans="1:1" x14ac:dyDescent="0.25">
      <c r="A23" s="17" t="s">
        <v>11</v>
      </c>
    </row>
    <row r="24" spans="1:1" x14ac:dyDescent="0.25">
      <c r="A24" s="17" t="s">
        <v>197</v>
      </c>
    </row>
    <row r="25" spans="1:1" x14ac:dyDescent="0.25">
      <c r="A25" s="17" t="s">
        <v>12</v>
      </c>
    </row>
    <row r="26" spans="1:1" x14ac:dyDescent="0.25">
      <c r="A26" s="17" t="s">
        <v>13</v>
      </c>
    </row>
    <row r="27" spans="1:1" x14ac:dyDescent="0.25">
      <c r="A27" s="17" t="s">
        <v>14</v>
      </c>
    </row>
    <row r="28" spans="1:1" x14ac:dyDescent="0.25">
      <c r="A28" s="17" t="s">
        <v>15</v>
      </c>
    </row>
    <row r="29" spans="1:1" x14ac:dyDescent="0.25">
      <c r="A29" s="17" t="s">
        <v>16</v>
      </c>
    </row>
    <row r="30" spans="1:1" x14ac:dyDescent="0.25">
      <c r="A30" s="17" t="s">
        <v>17</v>
      </c>
    </row>
    <row r="31" spans="1:1" x14ac:dyDescent="0.25">
      <c r="A31" s="17" t="s">
        <v>18</v>
      </c>
    </row>
    <row r="32" spans="1:1" x14ac:dyDescent="0.25">
      <c r="A32" s="17" t="s">
        <v>19</v>
      </c>
    </row>
    <row r="33" spans="1:1" x14ac:dyDescent="0.25">
      <c r="A33" s="17" t="s">
        <v>31</v>
      </c>
    </row>
    <row r="34" spans="1:1" x14ac:dyDescent="0.25">
      <c r="A34" s="17" t="s">
        <v>20</v>
      </c>
    </row>
    <row r="35" spans="1:1" x14ac:dyDescent="0.25">
      <c r="A35" s="17" t="s">
        <v>27</v>
      </c>
    </row>
    <row r="36" spans="1:1" x14ac:dyDescent="0.25">
      <c r="A36" s="17" t="s">
        <v>32</v>
      </c>
    </row>
    <row r="37" spans="1:1" x14ac:dyDescent="0.25">
      <c r="A37" s="17" t="s">
        <v>21</v>
      </c>
    </row>
    <row r="38" spans="1:1" x14ac:dyDescent="0.25">
      <c r="A38" s="17" t="s">
        <v>43</v>
      </c>
    </row>
    <row r="39" spans="1:1" x14ac:dyDescent="0.25">
      <c r="A39" s="17" t="s">
        <v>44</v>
      </c>
    </row>
    <row r="40" spans="1:1" x14ac:dyDescent="0.25">
      <c r="A40" s="17" t="s">
        <v>35</v>
      </c>
    </row>
    <row r="41" spans="1:1" x14ac:dyDescent="0.25">
      <c r="A41" s="17" t="s">
        <v>36</v>
      </c>
    </row>
    <row r="42" spans="1:1" x14ac:dyDescent="0.25">
      <c r="A42" s="17" t="s">
        <v>37</v>
      </c>
    </row>
    <row r="43" spans="1:1" x14ac:dyDescent="0.25">
      <c r="A43" s="17" t="s">
        <v>38</v>
      </c>
    </row>
    <row r="44" spans="1:1" x14ac:dyDescent="0.25">
      <c r="A44" s="17" t="s">
        <v>39</v>
      </c>
    </row>
    <row r="45" spans="1:1" x14ac:dyDescent="0.25">
      <c r="A45" s="17" t="s">
        <v>40</v>
      </c>
    </row>
    <row r="46" spans="1:1" x14ac:dyDescent="0.25">
      <c r="A46" s="17" t="s">
        <v>41</v>
      </c>
    </row>
    <row r="47" spans="1:1" x14ac:dyDescent="0.25">
      <c r="A47" s="17" t="s">
        <v>42</v>
      </c>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V54"/>
  <sheetViews>
    <sheetView workbookViewId="0">
      <pane xSplit="1" ySplit="5" topLeftCell="AC42" activePane="bottomRight" state="frozen"/>
      <selection activeCell="C8" sqref="C8"/>
      <selection pane="topRight" activeCell="C8" sqref="C8"/>
      <selection pane="bottomLeft" activeCell="C8" sqref="C8"/>
      <selection pane="bottomRight" activeCell="C8" sqref="C8"/>
    </sheetView>
  </sheetViews>
  <sheetFormatPr defaultRowHeight="15" x14ac:dyDescent="0.25"/>
  <cols>
    <col min="1" max="1" width="49.28515625" bestFit="1" customWidth="1"/>
    <col min="8" max="8" width="2.7109375" style="5" customWidth="1"/>
    <col min="15" max="15" width="2.7109375" style="5" customWidth="1"/>
    <col min="28" max="28" width="2.7109375" style="5" customWidth="1"/>
    <col min="42" max="42" width="36.85546875" customWidth="1"/>
    <col min="46" max="46" width="9.140625" style="288"/>
    <col min="48" max="48" width="9.140625" style="288"/>
  </cols>
  <sheetData>
    <row r="1" spans="1:48" x14ac:dyDescent="0.25">
      <c r="A1" s="30">
        <v>1</v>
      </c>
      <c r="B1" s="30">
        <v>2</v>
      </c>
      <c r="C1" s="30">
        <v>3</v>
      </c>
      <c r="D1" s="30">
        <v>4</v>
      </c>
      <c r="E1" s="30">
        <v>5</v>
      </c>
      <c r="F1" s="30">
        <v>6</v>
      </c>
      <c r="G1" s="30">
        <v>7</v>
      </c>
      <c r="H1" s="30">
        <v>8</v>
      </c>
      <c r="I1" s="30">
        <v>9</v>
      </c>
      <c r="J1" s="30">
        <v>10</v>
      </c>
      <c r="K1" s="30">
        <v>11</v>
      </c>
      <c r="L1" s="30">
        <v>12</v>
      </c>
      <c r="M1" s="30">
        <v>13</v>
      </c>
      <c r="N1" s="30">
        <v>14</v>
      </c>
      <c r="O1" s="30">
        <v>15</v>
      </c>
      <c r="P1" s="30">
        <v>16</v>
      </c>
      <c r="Q1" s="30">
        <v>17</v>
      </c>
      <c r="R1" s="30">
        <v>18</v>
      </c>
      <c r="S1" s="30">
        <v>19</v>
      </c>
      <c r="T1" s="30">
        <v>20</v>
      </c>
      <c r="U1" s="30">
        <v>21</v>
      </c>
      <c r="V1" s="30">
        <v>22</v>
      </c>
      <c r="W1" s="30">
        <v>23</v>
      </c>
      <c r="X1" s="30">
        <v>24</v>
      </c>
      <c r="Y1" s="30">
        <v>25</v>
      </c>
      <c r="Z1" s="30">
        <v>26</v>
      </c>
      <c r="AA1" s="30">
        <v>27</v>
      </c>
      <c r="AB1" s="30">
        <v>28</v>
      </c>
      <c r="AC1" s="30">
        <v>29</v>
      </c>
      <c r="AD1" s="30">
        <v>30</v>
      </c>
      <c r="AE1" s="30">
        <v>31</v>
      </c>
      <c r="AF1" s="30">
        <v>32</v>
      </c>
      <c r="AG1" s="30">
        <v>33</v>
      </c>
      <c r="AH1" s="30">
        <v>34</v>
      </c>
      <c r="AI1" s="30">
        <v>35</v>
      </c>
      <c r="AJ1" s="30">
        <v>36</v>
      </c>
      <c r="AK1" s="30">
        <v>37</v>
      </c>
      <c r="AL1" s="30">
        <v>38</v>
      </c>
      <c r="AM1" s="30">
        <v>39</v>
      </c>
      <c r="AN1" s="30">
        <v>40</v>
      </c>
    </row>
    <row r="2" spans="1:48" x14ac:dyDescent="0.25">
      <c r="B2" s="32" t="s">
        <v>132</v>
      </c>
      <c r="C2" s="31"/>
      <c r="D2" s="31"/>
      <c r="E2" s="97"/>
      <c r="F2" s="97"/>
      <c r="G2" s="31"/>
      <c r="H2" s="123"/>
      <c r="I2" s="31"/>
      <c r="J2" s="31"/>
      <c r="K2" s="31"/>
      <c r="L2" s="31"/>
      <c r="M2" s="31"/>
      <c r="N2" s="31"/>
      <c r="O2" s="123"/>
      <c r="P2" s="31"/>
      <c r="Q2" s="31"/>
      <c r="R2" s="31"/>
      <c r="S2" s="31"/>
      <c r="T2" s="31"/>
      <c r="U2" s="31"/>
      <c r="V2" s="31"/>
      <c r="W2" s="31"/>
      <c r="X2" s="31"/>
      <c r="Y2" s="31"/>
      <c r="Z2" s="31"/>
      <c r="AA2" s="31"/>
      <c r="AB2" s="123"/>
      <c r="AC2" s="31"/>
      <c r="AD2" s="31"/>
      <c r="AE2" s="31"/>
      <c r="AF2" s="31"/>
      <c r="AG2" s="31"/>
      <c r="AH2" s="31"/>
      <c r="AI2" s="31"/>
      <c r="AJ2" s="31"/>
      <c r="AK2" s="31"/>
      <c r="AL2" s="31"/>
      <c r="AM2" s="31"/>
      <c r="AN2" s="31"/>
    </row>
    <row r="3" spans="1:48" x14ac:dyDescent="0.25">
      <c r="B3" s="121" t="s">
        <v>133</v>
      </c>
      <c r="C3" s="107"/>
      <c r="D3" s="107"/>
      <c r="E3" s="107"/>
      <c r="F3" s="202"/>
      <c r="G3" s="112"/>
      <c r="H3" s="122"/>
      <c r="I3" s="121" t="s">
        <v>134</v>
      </c>
      <c r="J3" s="107"/>
      <c r="K3" s="107"/>
      <c r="L3" s="107"/>
      <c r="M3" s="202"/>
      <c r="N3" s="107"/>
      <c r="O3" s="122"/>
      <c r="P3" s="121" t="s">
        <v>135</v>
      </c>
      <c r="Q3" s="107"/>
      <c r="R3" s="107"/>
      <c r="S3" s="107"/>
      <c r="T3" s="107"/>
      <c r="U3" s="107"/>
      <c r="V3" s="107"/>
      <c r="W3" s="107"/>
      <c r="X3" s="202"/>
      <c r="Y3" s="202"/>
      <c r="Z3" s="107"/>
      <c r="AA3" s="107"/>
      <c r="AB3" s="122"/>
      <c r="AC3" s="121" t="s">
        <v>136</v>
      </c>
      <c r="AD3" s="107"/>
      <c r="AE3" s="107"/>
      <c r="AF3" s="107"/>
      <c r="AG3" s="107"/>
      <c r="AH3" s="107"/>
      <c r="AI3" s="107"/>
      <c r="AJ3" s="107"/>
      <c r="AK3" s="202"/>
      <c r="AL3" s="202"/>
      <c r="AM3" s="107"/>
      <c r="AN3" s="107"/>
    </row>
    <row r="4" spans="1:48" x14ac:dyDescent="0.25">
      <c r="B4" s="16">
        <v>2014</v>
      </c>
      <c r="C4" s="16">
        <v>2015</v>
      </c>
      <c r="D4" s="16">
        <v>2016</v>
      </c>
      <c r="E4" s="93">
        <v>2017</v>
      </c>
      <c r="F4" s="93">
        <v>2018</v>
      </c>
      <c r="G4" s="16">
        <v>2019</v>
      </c>
      <c r="H4" s="39"/>
      <c r="I4" s="16">
        <v>2014</v>
      </c>
      <c r="J4" s="16">
        <v>2015</v>
      </c>
      <c r="K4" s="16">
        <v>2016</v>
      </c>
      <c r="L4" s="16">
        <v>2017</v>
      </c>
      <c r="M4" s="16">
        <v>2018</v>
      </c>
      <c r="N4" s="16">
        <v>2019</v>
      </c>
      <c r="O4" s="39"/>
      <c r="P4" s="16">
        <v>2014</v>
      </c>
      <c r="Q4" s="16">
        <v>2014</v>
      </c>
      <c r="R4" s="16">
        <v>2015</v>
      </c>
      <c r="S4" s="16">
        <v>2015</v>
      </c>
      <c r="T4" s="16">
        <v>2016</v>
      </c>
      <c r="U4" s="16">
        <v>2016</v>
      </c>
      <c r="V4" s="16">
        <v>2017</v>
      </c>
      <c r="W4" s="16">
        <v>2017</v>
      </c>
      <c r="X4" s="16">
        <v>2018</v>
      </c>
      <c r="Y4" s="16">
        <v>2018</v>
      </c>
      <c r="Z4" s="16">
        <v>2019</v>
      </c>
      <c r="AA4" s="16">
        <v>2019</v>
      </c>
      <c r="AB4" s="39"/>
      <c r="AC4" s="16">
        <v>2014</v>
      </c>
      <c r="AD4" s="16">
        <v>2014</v>
      </c>
      <c r="AE4" s="16">
        <v>2015</v>
      </c>
      <c r="AF4" s="16">
        <v>2015</v>
      </c>
      <c r="AG4" s="16">
        <v>2016</v>
      </c>
      <c r="AH4" s="16">
        <v>2016</v>
      </c>
      <c r="AI4" s="16">
        <v>2017</v>
      </c>
      <c r="AJ4" s="16">
        <v>2017</v>
      </c>
      <c r="AK4" s="16">
        <v>2018</v>
      </c>
      <c r="AL4" s="16">
        <v>2018</v>
      </c>
      <c r="AM4" s="16">
        <v>2019</v>
      </c>
      <c r="AN4" s="16">
        <v>2019</v>
      </c>
    </row>
    <row r="5" spans="1:48" ht="75" x14ac:dyDescent="0.25">
      <c r="A5" s="41" t="s">
        <v>45</v>
      </c>
      <c r="B5" s="42" t="s">
        <v>48</v>
      </c>
      <c r="C5" s="42" t="s">
        <v>48</v>
      </c>
      <c r="D5" s="42" t="s">
        <v>48</v>
      </c>
      <c r="E5" s="94" t="s">
        <v>48</v>
      </c>
      <c r="F5" s="94" t="s">
        <v>48</v>
      </c>
      <c r="G5" s="42" t="s">
        <v>48</v>
      </c>
      <c r="H5" s="124"/>
      <c r="I5" s="42" t="s">
        <v>48</v>
      </c>
      <c r="J5" s="42" t="s">
        <v>48</v>
      </c>
      <c r="K5" s="42" t="s">
        <v>48</v>
      </c>
      <c r="L5" s="42" t="s">
        <v>48</v>
      </c>
      <c r="M5" s="42" t="s">
        <v>48</v>
      </c>
      <c r="N5" s="42" t="s">
        <v>48</v>
      </c>
      <c r="O5" s="124"/>
      <c r="P5" s="42" t="s">
        <v>48</v>
      </c>
      <c r="Q5" s="42" t="s">
        <v>52</v>
      </c>
      <c r="R5" s="42" t="s">
        <v>48</v>
      </c>
      <c r="S5" s="42" t="s">
        <v>52</v>
      </c>
      <c r="T5" s="42" t="s">
        <v>48</v>
      </c>
      <c r="U5" s="42" t="s">
        <v>52</v>
      </c>
      <c r="V5" s="42" t="s">
        <v>48</v>
      </c>
      <c r="W5" s="42" t="s">
        <v>52</v>
      </c>
      <c r="X5" s="42" t="s">
        <v>48</v>
      </c>
      <c r="Y5" s="42" t="s">
        <v>52</v>
      </c>
      <c r="Z5" s="42" t="s">
        <v>48</v>
      </c>
      <c r="AA5" s="42" t="s">
        <v>52</v>
      </c>
      <c r="AB5" s="124"/>
      <c r="AC5" s="42" t="s">
        <v>48</v>
      </c>
      <c r="AD5" s="42" t="s">
        <v>52</v>
      </c>
      <c r="AE5" s="42" t="s">
        <v>48</v>
      </c>
      <c r="AF5" s="42" t="s">
        <v>52</v>
      </c>
      <c r="AG5" s="42" t="s">
        <v>48</v>
      </c>
      <c r="AH5" s="42" t="s">
        <v>52</v>
      </c>
      <c r="AI5" s="42"/>
      <c r="AJ5" s="42"/>
      <c r="AK5" s="42" t="s">
        <v>48</v>
      </c>
      <c r="AL5" s="42" t="s">
        <v>52</v>
      </c>
      <c r="AM5" s="42" t="s">
        <v>48</v>
      </c>
      <c r="AN5" s="42" t="s">
        <v>52</v>
      </c>
      <c r="AP5" s="16" t="s">
        <v>203</v>
      </c>
      <c r="AQ5" s="44" t="s">
        <v>401</v>
      </c>
      <c r="AR5" s="44" t="s">
        <v>402</v>
      </c>
      <c r="AS5" s="44" t="s">
        <v>403</v>
      </c>
      <c r="AT5" s="344" t="s">
        <v>404</v>
      </c>
      <c r="AU5" s="44" t="s">
        <v>405</v>
      </c>
      <c r="AV5" s="344" t="s">
        <v>406</v>
      </c>
    </row>
    <row r="6" spans="1:48" x14ac:dyDescent="0.25">
      <c r="A6" s="17" t="s">
        <v>0</v>
      </c>
      <c r="B6" s="14">
        <v>59</v>
      </c>
      <c r="C6" s="14">
        <v>49</v>
      </c>
      <c r="D6" s="14">
        <v>56</v>
      </c>
      <c r="E6" s="14">
        <v>51</v>
      </c>
      <c r="F6" s="14">
        <v>56</v>
      </c>
      <c r="G6" s="56">
        <v>55</v>
      </c>
      <c r="H6" s="125"/>
      <c r="I6" s="14">
        <v>53</v>
      </c>
      <c r="J6" s="14">
        <v>46</v>
      </c>
      <c r="K6" s="14">
        <v>48</v>
      </c>
      <c r="L6" s="14">
        <v>44</v>
      </c>
      <c r="M6" s="14">
        <v>48</v>
      </c>
      <c r="N6" s="56">
        <v>48</v>
      </c>
      <c r="O6" s="125"/>
      <c r="P6" s="14">
        <v>3</v>
      </c>
      <c r="Q6" s="27">
        <v>5.6603773584905662E-2</v>
      </c>
      <c r="R6" s="14">
        <v>6</v>
      </c>
      <c r="S6" s="27">
        <v>0.13043478260869565</v>
      </c>
      <c r="T6" s="14">
        <v>2</v>
      </c>
      <c r="U6" s="27">
        <v>4.1666666666666664E-2</v>
      </c>
      <c r="V6" s="14">
        <v>3</v>
      </c>
      <c r="W6" s="27">
        <v>6.8181818181818177E-2</v>
      </c>
      <c r="X6" s="14">
        <v>0</v>
      </c>
      <c r="Y6" s="27">
        <v>0</v>
      </c>
      <c r="Z6" s="56">
        <v>2</v>
      </c>
      <c r="AA6" s="104">
        <f t="shared" ref="AA6:AA51" si="0">Z6/N6</f>
        <v>4.1666666666666664E-2</v>
      </c>
      <c r="AB6" s="125"/>
      <c r="AC6" s="14">
        <v>2</v>
      </c>
      <c r="AD6" s="27">
        <v>3.7735849056603772E-2</v>
      </c>
      <c r="AE6" s="14">
        <v>1</v>
      </c>
      <c r="AF6" s="27">
        <v>2.1739130434782608E-2</v>
      </c>
      <c r="AG6" s="14">
        <v>1</v>
      </c>
      <c r="AH6" s="27">
        <v>2.0833333333333332E-2</v>
      </c>
      <c r="AI6" s="14">
        <v>1</v>
      </c>
      <c r="AJ6" s="27">
        <v>2.2727272727272728E-2</v>
      </c>
      <c r="AK6" s="14">
        <v>0</v>
      </c>
      <c r="AL6" s="27">
        <v>0</v>
      </c>
      <c r="AM6" s="56"/>
      <c r="AN6" s="104">
        <f t="shared" ref="AN6:AN51" si="1">AM6/N6</f>
        <v>0</v>
      </c>
      <c r="AO6" s="214" t="str">
        <f>IF(AP6=A6,"OK","No")</f>
        <v>No</v>
      </c>
      <c r="AP6" t="s">
        <v>381</v>
      </c>
      <c r="AQ6">
        <v>55</v>
      </c>
      <c r="AR6">
        <v>48</v>
      </c>
      <c r="AS6">
        <v>2</v>
      </c>
      <c r="AT6" s="288">
        <v>4.1666666666666664E-2</v>
      </c>
      <c r="AV6" s="288">
        <v>0</v>
      </c>
    </row>
    <row r="7" spans="1:48" x14ac:dyDescent="0.25">
      <c r="A7" s="17" t="s">
        <v>26</v>
      </c>
      <c r="B7" s="14">
        <v>149</v>
      </c>
      <c r="C7" s="14">
        <v>171</v>
      </c>
      <c r="D7" s="14">
        <v>170</v>
      </c>
      <c r="E7" s="14">
        <v>160</v>
      </c>
      <c r="F7" s="14">
        <v>177</v>
      </c>
      <c r="G7" s="56">
        <v>180</v>
      </c>
      <c r="H7" s="125"/>
      <c r="I7" s="14">
        <v>134</v>
      </c>
      <c r="J7" s="14">
        <v>151</v>
      </c>
      <c r="K7" s="14">
        <v>156</v>
      </c>
      <c r="L7" s="14">
        <v>147</v>
      </c>
      <c r="M7" s="14">
        <v>150</v>
      </c>
      <c r="N7" s="56">
        <v>168</v>
      </c>
      <c r="O7" s="125"/>
      <c r="P7" s="14">
        <v>22</v>
      </c>
      <c r="Q7" s="27">
        <v>0.16417910447761194</v>
      </c>
      <c r="R7" s="14">
        <v>22</v>
      </c>
      <c r="S7" s="27">
        <v>0.14569536423841059</v>
      </c>
      <c r="T7" s="14">
        <v>18</v>
      </c>
      <c r="U7" s="27">
        <v>0.11538461538461539</v>
      </c>
      <c r="V7" s="14">
        <v>15</v>
      </c>
      <c r="W7" s="27">
        <v>0.10204081632653061</v>
      </c>
      <c r="X7" s="14">
        <v>9</v>
      </c>
      <c r="Y7" s="27">
        <v>0.06</v>
      </c>
      <c r="Z7" s="56">
        <v>7</v>
      </c>
      <c r="AA7" s="104">
        <f t="shared" si="0"/>
        <v>4.1666666666666664E-2</v>
      </c>
      <c r="AB7" s="125"/>
      <c r="AC7" s="14">
        <v>1</v>
      </c>
      <c r="AD7" s="27">
        <v>7.462686567164179E-3</v>
      </c>
      <c r="AE7" s="14">
        <v>2</v>
      </c>
      <c r="AF7" s="27">
        <v>1.3245033112582781E-2</v>
      </c>
      <c r="AG7" s="14">
        <v>1</v>
      </c>
      <c r="AH7" s="27">
        <v>6.41025641025641E-3</v>
      </c>
      <c r="AI7" s="14">
        <v>2</v>
      </c>
      <c r="AJ7" s="27">
        <v>1.3605442176870748E-2</v>
      </c>
      <c r="AK7" s="14">
        <v>1</v>
      </c>
      <c r="AL7" s="27">
        <v>6.6666666666666671E-3</v>
      </c>
      <c r="AM7" s="56">
        <v>2</v>
      </c>
      <c r="AN7" s="104">
        <f t="shared" si="1"/>
        <v>1.1904761904761904E-2</v>
      </c>
      <c r="AO7" s="214" t="str">
        <f t="shared" ref="AO7:AO51" si="2">IF(AP7=A7,"OK","No")</f>
        <v>OK</v>
      </c>
      <c r="AP7" t="s">
        <v>26</v>
      </c>
      <c r="AQ7">
        <v>180</v>
      </c>
      <c r="AR7">
        <v>168</v>
      </c>
      <c r="AS7">
        <v>7</v>
      </c>
      <c r="AT7" s="288">
        <v>4.1666666666666664E-2</v>
      </c>
      <c r="AU7">
        <v>2</v>
      </c>
      <c r="AV7" s="288">
        <v>1.1904761904761904E-2</v>
      </c>
    </row>
    <row r="8" spans="1:48" x14ac:dyDescent="0.25">
      <c r="A8" s="17" t="s">
        <v>1</v>
      </c>
      <c r="B8" s="14">
        <v>372</v>
      </c>
      <c r="C8" s="14">
        <v>375</v>
      </c>
      <c r="D8" s="14">
        <v>369</v>
      </c>
      <c r="E8" s="14">
        <v>369</v>
      </c>
      <c r="F8" s="14">
        <v>358</v>
      </c>
      <c r="G8" s="56">
        <v>407</v>
      </c>
      <c r="H8" s="125"/>
      <c r="I8" s="14">
        <v>343</v>
      </c>
      <c r="J8" s="14">
        <v>347</v>
      </c>
      <c r="K8" s="14">
        <v>347</v>
      </c>
      <c r="L8" s="14">
        <v>341</v>
      </c>
      <c r="M8" s="14">
        <v>332</v>
      </c>
      <c r="N8" s="56">
        <v>381</v>
      </c>
      <c r="O8" s="125"/>
      <c r="P8" s="14">
        <v>52</v>
      </c>
      <c r="Q8" s="27">
        <v>0.15160349854227406</v>
      </c>
      <c r="R8" s="14">
        <v>51</v>
      </c>
      <c r="S8" s="27">
        <v>0.14697406340057637</v>
      </c>
      <c r="T8" s="14">
        <v>41</v>
      </c>
      <c r="U8" s="27">
        <v>0.11815561959654179</v>
      </c>
      <c r="V8" s="14">
        <v>19</v>
      </c>
      <c r="W8" s="27">
        <v>5.5718475073313782E-2</v>
      </c>
      <c r="X8" s="14">
        <v>16</v>
      </c>
      <c r="Y8" s="27">
        <v>4.8192771084337352E-2</v>
      </c>
      <c r="Z8" s="56">
        <v>18</v>
      </c>
      <c r="AA8" s="104">
        <f t="shared" si="0"/>
        <v>4.7244094488188976E-2</v>
      </c>
      <c r="AB8" s="125"/>
      <c r="AC8" s="14">
        <v>16</v>
      </c>
      <c r="AD8" s="27">
        <v>4.6647230320699708E-2</v>
      </c>
      <c r="AE8" s="14">
        <v>7</v>
      </c>
      <c r="AF8" s="27">
        <v>2.0172910662824207E-2</v>
      </c>
      <c r="AG8" s="14">
        <v>9</v>
      </c>
      <c r="AH8" s="27">
        <v>2.5936599423631124E-2</v>
      </c>
      <c r="AI8" s="14">
        <v>7</v>
      </c>
      <c r="AJ8" s="27">
        <v>2.0527859237536656E-2</v>
      </c>
      <c r="AK8" s="14">
        <v>1</v>
      </c>
      <c r="AL8" s="27">
        <v>3.0120481927710845E-3</v>
      </c>
      <c r="AM8" s="56">
        <v>6</v>
      </c>
      <c r="AN8" s="104">
        <f t="shared" si="1"/>
        <v>1.5748031496062992E-2</v>
      </c>
      <c r="AO8" s="214" t="str">
        <f t="shared" si="2"/>
        <v>OK</v>
      </c>
      <c r="AP8" t="s">
        <v>1</v>
      </c>
      <c r="AQ8">
        <v>407</v>
      </c>
      <c r="AR8">
        <v>381</v>
      </c>
      <c r="AS8">
        <v>18</v>
      </c>
      <c r="AT8" s="288">
        <v>4.7244094488188976E-2</v>
      </c>
      <c r="AU8">
        <v>6</v>
      </c>
      <c r="AV8" s="288">
        <v>1.5748031496062992E-2</v>
      </c>
    </row>
    <row r="9" spans="1:48" x14ac:dyDescent="0.25">
      <c r="A9" s="17" t="s">
        <v>2</v>
      </c>
      <c r="B9" s="14">
        <v>422</v>
      </c>
      <c r="C9" s="14">
        <v>420</v>
      </c>
      <c r="D9" s="14">
        <v>420</v>
      </c>
      <c r="E9" s="14">
        <v>465</v>
      </c>
      <c r="F9" s="14">
        <v>458</v>
      </c>
      <c r="G9" s="56">
        <v>472</v>
      </c>
      <c r="H9" s="125"/>
      <c r="I9" s="14">
        <v>391</v>
      </c>
      <c r="J9" s="14">
        <v>380</v>
      </c>
      <c r="K9" s="14">
        <v>385</v>
      </c>
      <c r="L9" s="14">
        <v>418</v>
      </c>
      <c r="M9" s="14">
        <v>428</v>
      </c>
      <c r="N9" s="56">
        <v>432</v>
      </c>
      <c r="O9" s="125"/>
      <c r="P9" s="14">
        <v>21</v>
      </c>
      <c r="Q9" s="27">
        <v>5.3708439897698211E-2</v>
      </c>
      <c r="R9" s="14">
        <v>25</v>
      </c>
      <c r="S9" s="27">
        <v>6.5789473684210523E-2</v>
      </c>
      <c r="T9" s="14">
        <v>20</v>
      </c>
      <c r="U9" s="27">
        <v>5.1948051948051951E-2</v>
      </c>
      <c r="V9" s="14">
        <v>24</v>
      </c>
      <c r="W9" s="27">
        <v>5.7416267942583733E-2</v>
      </c>
      <c r="X9" s="14">
        <v>19</v>
      </c>
      <c r="Y9" s="27">
        <v>4.4392523364485979E-2</v>
      </c>
      <c r="Z9" s="56">
        <v>17</v>
      </c>
      <c r="AA9" s="104">
        <f t="shared" si="0"/>
        <v>3.9351851851851853E-2</v>
      </c>
      <c r="AB9" s="125"/>
      <c r="AC9" s="14">
        <v>9</v>
      </c>
      <c r="AD9" s="27">
        <v>2.3017902813299233E-2</v>
      </c>
      <c r="AE9" s="14">
        <v>7</v>
      </c>
      <c r="AF9" s="27">
        <v>1.8421052631578946E-2</v>
      </c>
      <c r="AG9" s="14">
        <v>10</v>
      </c>
      <c r="AH9" s="27">
        <v>2.5974025974025976E-2</v>
      </c>
      <c r="AI9" s="14">
        <v>9</v>
      </c>
      <c r="AJ9" s="27">
        <v>2.1531100478468901E-2</v>
      </c>
      <c r="AK9" s="14">
        <v>4</v>
      </c>
      <c r="AL9" s="27">
        <v>9.3457943925233638E-3</v>
      </c>
      <c r="AM9" s="56">
        <v>7</v>
      </c>
      <c r="AN9" s="104">
        <f t="shared" si="1"/>
        <v>1.6203703703703703E-2</v>
      </c>
      <c r="AO9" s="214" t="str">
        <f t="shared" si="2"/>
        <v>OK</v>
      </c>
      <c r="AP9" t="s">
        <v>2</v>
      </c>
      <c r="AQ9">
        <v>472</v>
      </c>
      <c r="AR9">
        <v>432</v>
      </c>
      <c r="AS9">
        <v>17</v>
      </c>
      <c r="AT9" s="288">
        <v>3.9351851851851853E-2</v>
      </c>
      <c r="AU9">
        <v>7</v>
      </c>
      <c r="AV9" s="288">
        <v>1.6203703703703703E-2</v>
      </c>
    </row>
    <row r="10" spans="1:48" x14ac:dyDescent="0.25">
      <c r="A10" s="17" t="s">
        <v>3</v>
      </c>
      <c r="B10" s="14">
        <v>20</v>
      </c>
      <c r="C10" s="14">
        <v>20</v>
      </c>
      <c r="D10" s="14">
        <v>21</v>
      </c>
      <c r="E10" s="14">
        <v>21</v>
      </c>
      <c r="F10" s="14">
        <v>20</v>
      </c>
      <c r="G10" s="56">
        <v>21</v>
      </c>
      <c r="H10" s="125"/>
      <c r="I10" s="14">
        <v>20</v>
      </c>
      <c r="J10" s="14">
        <v>19</v>
      </c>
      <c r="K10" s="14">
        <v>20</v>
      </c>
      <c r="L10" s="14">
        <v>20</v>
      </c>
      <c r="M10" s="14">
        <v>20</v>
      </c>
      <c r="N10" s="56">
        <v>19</v>
      </c>
      <c r="O10" s="125"/>
      <c r="P10" s="14">
        <v>0</v>
      </c>
      <c r="Q10" s="27">
        <v>0</v>
      </c>
      <c r="R10" s="14">
        <v>0</v>
      </c>
      <c r="S10" s="27">
        <v>0</v>
      </c>
      <c r="T10" s="14">
        <v>0</v>
      </c>
      <c r="U10" s="27">
        <v>0</v>
      </c>
      <c r="V10" s="14">
        <v>1</v>
      </c>
      <c r="W10" s="27">
        <v>0.05</v>
      </c>
      <c r="X10" s="14">
        <v>0</v>
      </c>
      <c r="Y10" s="27">
        <v>0</v>
      </c>
      <c r="Z10" s="56"/>
      <c r="AA10" s="104">
        <f t="shared" si="0"/>
        <v>0</v>
      </c>
      <c r="AB10" s="125"/>
      <c r="AC10" s="14">
        <v>0</v>
      </c>
      <c r="AD10" s="27">
        <v>0</v>
      </c>
      <c r="AE10" s="14">
        <v>0</v>
      </c>
      <c r="AF10" s="27">
        <v>0</v>
      </c>
      <c r="AG10" s="14">
        <v>0</v>
      </c>
      <c r="AH10" s="27">
        <v>0</v>
      </c>
      <c r="AI10" s="14">
        <v>0</v>
      </c>
      <c r="AJ10" s="27">
        <v>0</v>
      </c>
      <c r="AK10" s="14">
        <v>0</v>
      </c>
      <c r="AL10" s="27">
        <v>0</v>
      </c>
      <c r="AM10" s="56"/>
      <c r="AN10" s="104">
        <f t="shared" si="1"/>
        <v>0</v>
      </c>
      <c r="AO10" s="214" t="str">
        <f t="shared" si="2"/>
        <v>OK</v>
      </c>
      <c r="AP10" t="s">
        <v>3</v>
      </c>
      <c r="AQ10">
        <v>21</v>
      </c>
      <c r="AR10">
        <v>19</v>
      </c>
      <c r="AT10" s="288">
        <v>0</v>
      </c>
      <c r="AV10" s="288">
        <v>0</v>
      </c>
    </row>
    <row r="11" spans="1:48" x14ac:dyDescent="0.25">
      <c r="A11" s="17" t="s">
        <v>33</v>
      </c>
      <c r="B11" s="14">
        <v>15</v>
      </c>
      <c r="C11" s="14">
        <v>16</v>
      </c>
      <c r="D11" s="14">
        <v>15</v>
      </c>
      <c r="E11" s="14">
        <v>16</v>
      </c>
      <c r="F11" s="14">
        <v>16</v>
      </c>
      <c r="G11" s="56">
        <v>16</v>
      </c>
      <c r="H11" s="125"/>
      <c r="I11" s="14">
        <v>13</v>
      </c>
      <c r="J11" s="14">
        <v>15</v>
      </c>
      <c r="K11" s="14">
        <v>13</v>
      </c>
      <c r="L11" s="14">
        <v>16</v>
      </c>
      <c r="M11" s="14">
        <v>16</v>
      </c>
      <c r="N11" s="56">
        <v>14</v>
      </c>
      <c r="O11" s="125"/>
      <c r="P11" s="14">
        <v>0</v>
      </c>
      <c r="Q11" s="27">
        <v>0</v>
      </c>
      <c r="R11" s="14">
        <v>0</v>
      </c>
      <c r="S11" s="27">
        <v>0</v>
      </c>
      <c r="T11" s="14">
        <v>1</v>
      </c>
      <c r="U11" s="27">
        <v>7.6923076923076927E-2</v>
      </c>
      <c r="V11" s="14">
        <v>2</v>
      </c>
      <c r="W11" s="27">
        <v>0.125</v>
      </c>
      <c r="X11" s="14">
        <v>1</v>
      </c>
      <c r="Y11" s="27">
        <v>6.25E-2</v>
      </c>
      <c r="Z11" s="56"/>
      <c r="AA11" s="104">
        <f t="shared" si="0"/>
        <v>0</v>
      </c>
      <c r="AB11" s="125"/>
      <c r="AC11" s="14">
        <v>0</v>
      </c>
      <c r="AD11" s="27">
        <v>0</v>
      </c>
      <c r="AE11" s="14">
        <v>0</v>
      </c>
      <c r="AF11" s="27">
        <v>0</v>
      </c>
      <c r="AG11" s="14">
        <v>1</v>
      </c>
      <c r="AH11" s="27">
        <v>7.6923076923076927E-2</v>
      </c>
      <c r="AI11" s="14">
        <v>0</v>
      </c>
      <c r="AJ11" s="27">
        <v>0</v>
      </c>
      <c r="AK11" s="14">
        <v>1</v>
      </c>
      <c r="AL11" s="27">
        <v>6.25E-2</v>
      </c>
      <c r="AM11" s="56"/>
      <c r="AN11" s="104">
        <f t="shared" si="1"/>
        <v>0</v>
      </c>
      <c r="AO11" s="214" t="str">
        <f t="shared" si="2"/>
        <v>OK</v>
      </c>
      <c r="AP11" t="s">
        <v>33</v>
      </c>
      <c r="AQ11">
        <v>16</v>
      </c>
      <c r="AR11">
        <v>14</v>
      </c>
      <c r="AT11" s="288">
        <v>0</v>
      </c>
      <c r="AV11" s="288">
        <v>0</v>
      </c>
    </row>
    <row r="12" spans="1:48" x14ac:dyDescent="0.25">
      <c r="A12" s="17" t="s">
        <v>23</v>
      </c>
      <c r="B12" s="14">
        <v>187</v>
      </c>
      <c r="C12" s="14">
        <v>186</v>
      </c>
      <c r="D12" s="14">
        <v>179</v>
      </c>
      <c r="E12" s="14">
        <v>170</v>
      </c>
      <c r="F12" s="14">
        <v>170</v>
      </c>
      <c r="G12" s="56">
        <v>180</v>
      </c>
      <c r="H12" s="125"/>
      <c r="I12" s="14">
        <v>166</v>
      </c>
      <c r="J12" s="14">
        <v>166</v>
      </c>
      <c r="K12" s="14">
        <v>163</v>
      </c>
      <c r="L12" s="14">
        <v>149</v>
      </c>
      <c r="M12" s="14">
        <v>158</v>
      </c>
      <c r="N12" s="56">
        <v>159</v>
      </c>
      <c r="O12" s="125"/>
      <c r="P12" s="14">
        <v>23</v>
      </c>
      <c r="Q12" s="27">
        <v>0.13855421686746988</v>
      </c>
      <c r="R12" s="14">
        <v>21</v>
      </c>
      <c r="S12" s="27">
        <v>0.12650602409638553</v>
      </c>
      <c r="T12" s="14">
        <v>19</v>
      </c>
      <c r="U12" s="27">
        <v>0.1165644171779141</v>
      </c>
      <c r="V12" s="14">
        <v>16</v>
      </c>
      <c r="W12" s="27">
        <v>0.10738255033557047</v>
      </c>
      <c r="X12" s="14">
        <v>9</v>
      </c>
      <c r="Y12" s="27">
        <v>5.6962025316455694E-2</v>
      </c>
      <c r="Z12" s="56">
        <v>11</v>
      </c>
      <c r="AA12" s="104">
        <f t="shared" si="0"/>
        <v>6.9182389937106917E-2</v>
      </c>
      <c r="AB12" s="125"/>
      <c r="AC12" s="14">
        <v>12</v>
      </c>
      <c r="AD12" s="27">
        <v>7.2289156626506021E-2</v>
      </c>
      <c r="AE12" s="14">
        <v>10</v>
      </c>
      <c r="AF12" s="27">
        <v>6.0240963855421686E-2</v>
      </c>
      <c r="AG12" s="14">
        <v>9</v>
      </c>
      <c r="AH12" s="27">
        <v>5.5214723926380369E-2</v>
      </c>
      <c r="AI12" s="14">
        <v>6</v>
      </c>
      <c r="AJ12" s="27">
        <v>4.0268456375838924E-2</v>
      </c>
      <c r="AK12" s="14">
        <v>4</v>
      </c>
      <c r="AL12" s="27">
        <v>2.5316455696202531E-2</v>
      </c>
      <c r="AM12" s="56">
        <v>7</v>
      </c>
      <c r="AN12" s="104">
        <f t="shared" si="1"/>
        <v>4.40251572327044E-2</v>
      </c>
      <c r="AO12" s="214" t="str">
        <f t="shared" si="2"/>
        <v>No</v>
      </c>
      <c r="AP12" t="s">
        <v>338</v>
      </c>
      <c r="AQ12">
        <v>180</v>
      </c>
      <c r="AR12">
        <v>159</v>
      </c>
      <c r="AS12">
        <v>11</v>
      </c>
      <c r="AT12" s="288">
        <v>6.9182389937106917E-2</v>
      </c>
      <c r="AU12">
        <v>7</v>
      </c>
      <c r="AV12" s="288">
        <v>4.40251572327044E-2</v>
      </c>
    </row>
    <row r="13" spans="1:48" x14ac:dyDescent="0.25">
      <c r="A13" s="17" t="s">
        <v>4</v>
      </c>
      <c r="B13" s="14">
        <v>201</v>
      </c>
      <c r="C13" s="14">
        <v>205</v>
      </c>
      <c r="D13" s="14">
        <v>234</v>
      </c>
      <c r="E13" s="14">
        <v>231</v>
      </c>
      <c r="F13" s="14">
        <v>250</v>
      </c>
      <c r="G13" s="56">
        <v>254</v>
      </c>
      <c r="H13" s="125"/>
      <c r="I13" s="14">
        <v>184</v>
      </c>
      <c r="J13" s="14">
        <v>186</v>
      </c>
      <c r="K13" s="14">
        <v>201</v>
      </c>
      <c r="L13" s="14">
        <v>209</v>
      </c>
      <c r="M13" s="14">
        <v>233</v>
      </c>
      <c r="N13" s="56">
        <v>222</v>
      </c>
      <c r="O13" s="125"/>
      <c r="P13" s="14">
        <v>11</v>
      </c>
      <c r="Q13" s="27">
        <v>5.9782608695652176E-2</v>
      </c>
      <c r="R13" s="14">
        <v>4</v>
      </c>
      <c r="S13" s="27">
        <v>2.1505376344086023E-2</v>
      </c>
      <c r="T13" s="14">
        <v>3</v>
      </c>
      <c r="U13" s="27">
        <v>1.4925373134328358E-2</v>
      </c>
      <c r="V13" s="14">
        <v>8</v>
      </c>
      <c r="W13" s="27">
        <v>3.8277511961722487E-2</v>
      </c>
      <c r="X13" s="14">
        <v>12</v>
      </c>
      <c r="Y13" s="27">
        <v>5.1502145922746781E-2</v>
      </c>
      <c r="Z13" s="56">
        <v>6</v>
      </c>
      <c r="AA13" s="104">
        <f t="shared" si="0"/>
        <v>2.7027027027027029E-2</v>
      </c>
      <c r="AB13" s="125"/>
      <c r="AC13" s="14">
        <v>1</v>
      </c>
      <c r="AD13" s="27">
        <v>5.434782608695652E-3</v>
      </c>
      <c r="AE13" s="14">
        <v>1</v>
      </c>
      <c r="AF13" s="27">
        <v>5.3763440860215058E-3</v>
      </c>
      <c r="AG13" s="14">
        <v>2</v>
      </c>
      <c r="AH13" s="27">
        <v>9.9502487562189053E-3</v>
      </c>
      <c r="AI13" s="14">
        <v>2</v>
      </c>
      <c r="AJ13" s="27">
        <v>9.5693779904306216E-3</v>
      </c>
      <c r="AK13" s="14">
        <v>1</v>
      </c>
      <c r="AL13" s="27">
        <v>4.2918454935622317E-3</v>
      </c>
      <c r="AM13" s="56">
        <v>2</v>
      </c>
      <c r="AN13" s="104">
        <f t="shared" si="1"/>
        <v>9.0090090090090089E-3</v>
      </c>
      <c r="AO13" s="214" t="str">
        <f t="shared" si="2"/>
        <v>OK</v>
      </c>
      <c r="AP13" t="s">
        <v>4</v>
      </c>
      <c r="AQ13">
        <v>254</v>
      </c>
      <c r="AR13">
        <v>222</v>
      </c>
      <c r="AS13">
        <v>6</v>
      </c>
      <c r="AT13" s="288">
        <v>2.7027027027027029E-2</v>
      </c>
      <c r="AU13">
        <v>2</v>
      </c>
      <c r="AV13" s="288">
        <v>9.0090090090090089E-3</v>
      </c>
    </row>
    <row r="14" spans="1:48" x14ac:dyDescent="0.25">
      <c r="A14" s="17" t="s">
        <v>28</v>
      </c>
      <c r="B14" s="14">
        <v>67</v>
      </c>
      <c r="C14" s="14">
        <v>55</v>
      </c>
      <c r="D14" s="14">
        <v>52</v>
      </c>
      <c r="E14" s="14">
        <v>47</v>
      </c>
      <c r="F14" s="14">
        <v>45</v>
      </c>
      <c r="G14" s="56">
        <v>43</v>
      </c>
      <c r="H14" s="125"/>
      <c r="I14" s="14">
        <v>63</v>
      </c>
      <c r="J14" s="14">
        <v>53</v>
      </c>
      <c r="K14" s="14">
        <v>51</v>
      </c>
      <c r="L14" s="14">
        <v>45</v>
      </c>
      <c r="M14" s="14">
        <v>40</v>
      </c>
      <c r="N14" s="56">
        <v>42</v>
      </c>
      <c r="O14" s="125"/>
      <c r="P14" s="14">
        <v>3</v>
      </c>
      <c r="Q14" s="27">
        <v>4.7619047619047616E-2</v>
      </c>
      <c r="R14" s="14">
        <v>3</v>
      </c>
      <c r="S14" s="27">
        <v>5.6603773584905662E-2</v>
      </c>
      <c r="T14" s="14">
        <v>3</v>
      </c>
      <c r="U14" s="27">
        <v>5.8823529411764705E-2</v>
      </c>
      <c r="V14" s="14">
        <v>0</v>
      </c>
      <c r="W14" s="27">
        <v>0</v>
      </c>
      <c r="X14" s="14">
        <v>2</v>
      </c>
      <c r="Y14" s="27">
        <v>0.05</v>
      </c>
      <c r="Z14" s="56"/>
      <c r="AA14" s="104">
        <f t="shared" si="0"/>
        <v>0</v>
      </c>
      <c r="AB14" s="125"/>
      <c r="AC14" s="14">
        <v>1</v>
      </c>
      <c r="AD14" s="27">
        <v>1.5873015873015872E-2</v>
      </c>
      <c r="AE14" s="14">
        <v>1</v>
      </c>
      <c r="AF14" s="27">
        <v>1.8867924528301886E-2</v>
      </c>
      <c r="AG14" s="14">
        <v>2</v>
      </c>
      <c r="AH14" s="27">
        <v>3.9215686274509803E-2</v>
      </c>
      <c r="AI14" s="14">
        <v>1</v>
      </c>
      <c r="AJ14" s="27">
        <v>2.2222222222222223E-2</v>
      </c>
      <c r="AK14" s="14">
        <v>1</v>
      </c>
      <c r="AL14" s="27">
        <v>2.5000000000000001E-2</v>
      </c>
      <c r="AM14" s="56">
        <v>5</v>
      </c>
      <c r="AN14" s="104">
        <f t="shared" si="1"/>
        <v>0.11904761904761904</v>
      </c>
      <c r="AO14" s="214" t="str">
        <f t="shared" si="2"/>
        <v>OK</v>
      </c>
      <c r="AP14" t="s">
        <v>28</v>
      </c>
      <c r="AQ14">
        <v>43</v>
      </c>
      <c r="AR14">
        <v>42</v>
      </c>
      <c r="AT14" s="288">
        <v>0</v>
      </c>
      <c r="AU14">
        <v>5</v>
      </c>
      <c r="AV14" s="288">
        <v>0.11904761904761904</v>
      </c>
    </row>
    <row r="15" spans="1:48" x14ac:dyDescent="0.25">
      <c r="A15" s="17" t="s">
        <v>29</v>
      </c>
      <c r="B15" s="14">
        <v>20</v>
      </c>
      <c r="C15" s="14">
        <v>25</v>
      </c>
      <c r="D15" s="14">
        <v>25</v>
      </c>
      <c r="E15" s="14">
        <v>21</v>
      </c>
      <c r="F15" s="14">
        <v>22</v>
      </c>
      <c r="G15" s="56">
        <v>22</v>
      </c>
      <c r="H15" s="125"/>
      <c r="I15" s="14">
        <v>20</v>
      </c>
      <c r="J15" s="14">
        <v>21</v>
      </c>
      <c r="K15" s="14">
        <v>23</v>
      </c>
      <c r="L15" s="14">
        <v>20</v>
      </c>
      <c r="M15" s="14">
        <v>21</v>
      </c>
      <c r="N15" s="56">
        <v>20</v>
      </c>
      <c r="O15" s="125"/>
      <c r="P15" s="14">
        <v>0</v>
      </c>
      <c r="Q15" s="27">
        <v>0</v>
      </c>
      <c r="R15" s="14">
        <v>0</v>
      </c>
      <c r="S15" s="27">
        <v>0</v>
      </c>
      <c r="T15" s="14">
        <v>0</v>
      </c>
      <c r="U15" s="27">
        <v>0</v>
      </c>
      <c r="V15" s="14">
        <v>1</v>
      </c>
      <c r="W15" s="27">
        <v>0.05</v>
      </c>
      <c r="X15" s="14">
        <v>1</v>
      </c>
      <c r="Y15" s="27">
        <v>4.7619047619047616E-2</v>
      </c>
      <c r="Z15" s="56">
        <v>1</v>
      </c>
      <c r="AA15" s="104">
        <f t="shared" si="0"/>
        <v>0.05</v>
      </c>
      <c r="AB15" s="125"/>
      <c r="AC15" s="14">
        <v>0</v>
      </c>
      <c r="AD15" s="27">
        <v>0</v>
      </c>
      <c r="AE15" s="14">
        <v>0</v>
      </c>
      <c r="AF15" s="27">
        <v>0</v>
      </c>
      <c r="AG15" s="14">
        <v>2</v>
      </c>
      <c r="AH15" s="27">
        <v>8.6956521739130432E-2</v>
      </c>
      <c r="AI15" s="14">
        <v>0</v>
      </c>
      <c r="AJ15" s="27">
        <v>0</v>
      </c>
      <c r="AK15" s="14">
        <v>0</v>
      </c>
      <c r="AL15" s="27">
        <v>0</v>
      </c>
      <c r="AM15" s="56"/>
      <c r="AN15" s="104">
        <f t="shared" si="1"/>
        <v>0</v>
      </c>
      <c r="AO15" s="214" t="str">
        <f t="shared" si="2"/>
        <v>OK</v>
      </c>
      <c r="AP15" t="s">
        <v>29</v>
      </c>
      <c r="AQ15">
        <v>22</v>
      </c>
      <c r="AR15">
        <v>20</v>
      </c>
      <c r="AS15">
        <v>1</v>
      </c>
      <c r="AT15" s="288">
        <v>0.05</v>
      </c>
      <c r="AV15" s="288">
        <v>0</v>
      </c>
    </row>
    <row r="16" spans="1:48" x14ac:dyDescent="0.25">
      <c r="A16" s="17" t="s">
        <v>5</v>
      </c>
      <c r="B16" s="14">
        <v>30</v>
      </c>
      <c r="C16" s="14">
        <v>29</v>
      </c>
      <c r="D16" s="14">
        <v>30</v>
      </c>
      <c r="E16" s="14">
        <v>26</v>
      </c>
      <c r="F16" s="14">
        <v>28</v>
      </c>
      <c r="G16" s="56">
        <v>36</v>
      </c>
      <c r="H16" s="125"/>
      <c r="I16" s="14">
        <v>27</v>
      </c>
      <c r="J16" s="14">
        <v>28</v>
      </c>
      <c r="K16" s="14">
        <v>26</v>
      </c>
      <c r="L16" s="14">
        <v>24</v>
      </c>
      <c r="M16" s="14">
        <v>26</v>
      </c>
      <c r="N16" s="56">
        <v>30</v>
      </c>
      <c r="O16" s="125"/>
      <c r="P16" s="14">
        <v>2</v>
      </c>
      <c r="Q16" s="27">
        <v>7.407407407407407E-2</v>
      </c>
      <c r="R16" s="14">
        <v>0</v>
      </c>
      <c r="S16" s="27">
        <v>0</v>
      </c>
      <c r="T16" s="14">
        <v>3</v>
      </c>
      <c r="U16" s="27">
        <v>0.11538461538461539</v>
      </c>
      <c r="V16" s="14">
        <v>0</v>
      </c>
      <c r="W16" s="27">
        <v>0</v>
      </c>
      <c r="X16" s="14">
        <v>1</v>
      </c>
      <c r="Y16" s="27">
        <v>3.8461538461538464E-2</v>
      </c>
      <c r="Z16" s="56">
        <v>2</v>
      </c>
      <c r="AA16" s="104">
        <f t="shared" si="0"/>
        <v>6.6666666666666666E-2</v>
      </c>
      <c r="AB16" s="125"/>
      <c r="AC16" s="14">
        <v>0</v>
      </c>
      <c r="AD16" s="27">
        <v>0</v>
      </c>
      <c r="AE16" s="14">
        <v>0</v>
      </c>
      <c r="AF16" s="27">
        <v>0</v>
      </c>
      <c r="AG16" s="14">
        <v>1</v>
      </c>
      <c r="AH16" s="27">
        <v>3.8461538461538464E-2</v>
      </c>
      <c r="AI16" s="14">
        <v>1</v>
      </c>
      <c r="AJ16" s="27">
        <v>4.1666666666666664E-2</v>
      </c>
      <c r="AK16" s="14">
        <v>0</v>
      </c>
      <c r="AL16" s="27">
        <v>0</v>
      </c>
      <c r="AM16" s="56"/>
      <c r="AN16" s="104">
        <f t="shared" si="1"/>
        <v>0</v>
      </c>
      <c r="AO16" s="214" t="str">
        <f t="shared" si="2"/>
        <v>OK</v>
      </c>
      <c r="AP16" t="s">
        <v>5</v>
      </c>
      <c r="AQ16">
        <v>36</v>
      </c>
      <c r="AR16">
        <v>30</v>
      </c>
      <c r="AS16">
        <v>2</v>
      </c>
      <c r="AT16" s="288">
        <v>6.6666666666666666E-2</v>
      </c>
      <c r="AV16" s="288">
        <v>0</v>
      </c>
    </row>
    <row r="17" spans="1:48" x14ac:dyDescent="0.25">
      <c r="A17" s="17" t="s">
        <v>22</v>
      </c>
      <c r="B17" s="14">
        <v>505</v>
      </c>
      <c r="C17" s="14">
        <v>538</v>
      </c>
      <c r="D17" s="14">
        <v>506</v>
      </c>
      <c r="E17" s="14">
        <v>501</v>
      </c>
      <c r="F17" s="14">
        <v>492</v>
      </c>
      <c r="G17" s="56">
        <v>487</v>
      </c>
      <c r="H17" s="125"/>
      <c r="I17" s="14">
        <v>462</v>
      </c>
      <c r="J17" s="14">
        <v>479</v>
      </c>
      <c r="K17" s="14">
        <v>465</v>
      </c>
      <c r="L17" s="14">
        <v>450</v>
      </c>
      <c r="M17" s="14">
        <v>442</v>
      </c>
      <c r="N17" s="56">
        <v>450</v>
      </c>
      <c r="O17" s="125"/>
      <c r="P17" s="14">
        <v>38</v>
      </c>
      <c r="Q17" s="27">
        <v>8.2251082251082255E-2</v>
      </c>
      <c r="R17" s="14">
        <v>37</v>
      </c>
      <c r="S17" s="27">
        <v>7.724425887265135E-2</v>
      </c>
      <c r="T17" s="14">
        <v>43</v>
      </c>
      <c r="U17" s="27">
        <v>9.2473118279569888E-2</v>
      </c>
      <c r="V17" s="14">
        <v>33</v>
      </c>
      <c r="W17" s="27">
        <v>7.3333333333333334E-2</v>
      </c>
      <c r="X17" s="14">
        <v>29</v>
      </c>
      <c r="Y17" s="27">
        <v>6.561085972850679E-2</v>
      </c>
      <c r="Z17" s="56">
        <v>28</v>
      </c>
      <c r="AA17" s="104">
        <f t="shared" si="0"/>
        <v>6.222222222222222E-2</v>
      </c>
      <c r="AB17" s="125"/>
      <c r="AC17" s="14">
        <v>18</v>
      </c>
      <c r="AD17" s="27">
        <v>3.896103896103896E-2</v>
      </c>
      <c r="AE17" s="14">
        <v>17</v>
      </c>
      <c r="AF17" s="27">
        <v>3.5490605427974949E-2</v>
      </c>
      <c r="AG17" s="14">
        <v>14</v>
      </c>
      <c r="AH17" s="27">
        <v>3.0107526881720432E-2</v>
      </c>
      <c r="AI17" s="14">
        <v>12</v>
      </c>
      <c r="AJ17" s="27">
        <v>2.6666666666666668E-2</v>
      </c>
      <c r="AK17" s="14">
        <v>7</v>
      </c>
      <c r="AL17" s="27">
        <v>1.5837104072398189E-2</v>
      </c>
      <c r="AM17" s="56">
        <v>13</v>
      </c>
      <c r="AN17" s="104">
        <f t="shared" si="1"/>
        <v>2.8888888888888888E-2</v>
      </c>
      <c r="AO17" s="214" t="str">
        <f t="shared" si="2"/>
        <v>OK</v>
      </c>
      <c r="AP17" t="s">
        <v>22</v>
      </c>
      <c r="AQ17">
        <v>487</v>
      </c>
      <c r="AR17">
        <v>450</v>
      </c>
      <c r="AS17">
        <v>28</v>
      </c>
      <c r="AT17" s="288">
        <v>6.222222222222222E-2</v>
      </c>
      <c r="AU17">
        <v>13</v>
      </c>
      <c r="AV17" s="288">
        <v>2.8888888888888888E-2</v>
      </c>
    </row>
    <row r="18" spans="1:48" x14ac:dyDescent="0.25">
      <c r="A18" s="17" t="s">
        <v>7</v>
      </c>
      <c r="B18" s="14">
        <v>247</v>
      </c>
      <c r="C18" s="14">
        <v>237</v>
      </c>
      <c r="D18" s="14">
        <v>222</v>
      </c>
      <c r="E18" s="14">
        <v>212</v>
      </c>
      <c r="F18" s="14">
        <v>205</v>
      </c>
      <c r="G18" s="56">
        <v>183</v>
      </c>
      <c r="H18" s="125"/>
      <c r="I18" s="14">
        <v>236</v>
      </c>
      <c r="J18" s="14">
        <v>232</v>
      </c>
      <c r="K18" s="14">
        <v>209</v>
      </c>
      <c r="L18" s="14">
        <v>205</v>
      </c>
      <c r="M18" s="14">
        <v>191</v>
      </c>
      <c r="N18" s="56">
        <v>174</v>
      </c>
      <c r="O18" s="125"/>
      <c r="P18" s="14">
        <v>24</v>
      </c>
      <c r="Q18" s="27">
        <v>0.10169491525423729</v>
      </c>
      <c r="R18" s="14">
        <v>18</v>
      </c>
      <c r="S18" s="27">
        <v>7.7586206896551727E-2</v>
      </c>
      <c r="T18" s="14">
        <v>15</v>
      </c>
      <c r="U18" s="27">
        <v>7.1770334928229665E-2</v>
      </c>
      <c r="V18" s="14">
        <v>14</v>
      </c>
      <c r="W18" s="27">
        <v>6.8292682926829273E-2</v>
      </c>
      <c r="X18" s="14">
        <v>7</v>
      </c>
      <c r="Y18" s="27">
        <v>3.6649214659685861E-2</v>
      </c>
      <c r="Z18" s="56">
        <v>8</v>
      </c>
      <c r="AA18" s="104">
        <f t="shared" si="0"/>
        <v>4.5977011494252873E-2</v>
      </c>
      <c r="AB18" s="125"/>
      <c r="AC18" s="14">
        <v>12</v>
      </c>
      <c r="AD18" s="27">
        <v>5.0847457627118647E-2</v>
      </c>
      <c r="AE18" s="14">
        <v>13</v>
      </c>
      <c r="AF18" s="27">
        <v>5.6034482758620691E-2</v>
      </c>
      <c r="AG18" s="14">
        <v>14</v>
      </c>
      <c r="AH18" s="27">
        <v>6.6985645933014357E-2</v>
      </c>
      <c r="AI18" s="14">
        <v>6</v>
      </c>
      <c r="AJ18" s="27">
        <v>2.9268292682926831E-2</v>
      </c>
      <c r="AK18" s="14">
        <v>10</v>
      </c>
      <c r="AL18" s="27">
        <v>5.2356020942408377E-2</v>
      </c>
      <c r="AM18" s="56">
        <v>7</v>
      </c>
      <c r="AN18" s="104">
        <f t="shared" si="1"/>
        <v>4.0229885057471264E-2</v>
      </c>
      <c r="AO18" s="214" t="str">
        <f t="shared" si="2"/>
        <v>OK</v>
      </c>
      <c r="AP18" t="s">
        <v>7</v>
      </c>
      <c r="AQ18">
        <v>183</v>
      </c>
      <c r="AR18">
        <v>174</v>
      </c>
      <c r="AS18">
        <v>8</v>
      </c>
      <c r="AT18" s="288">
        <v>4.5977011494252873E-2</v>
      </c>
      <c r="AU18">
        <v>7</v>
      </c>
      <c r="AV18" s="288">
        <v>4.0229885057471264E-2</v>
      </c>
    </row>
    <row r="19" spans="1:48" x14ac:dyDescent="0.25">
      <c r="A19" s="17" t="s">
        <v>6</v>
      </c>
      <c r="B19" s="14">
        <v>22</v>
      </c>
      <c r="C19" s="14">
        <v>21</v>
      </c>
      <c r="D19" s="14">
        <v>21</v>
      </c>
      <c r="E19" s="14">
        <v>21</v>
      </c>
      <c r="F19" s="14">
        <v>24</v>
      </c>
      <c r="G19" s="56">
        <v>24</v>
      </c>
      <c r="H19" s="125"/>
      <c r="I19" s="14">
        <v>20</v>
      </c>
      <c r="J19" s="14">
        <v>17</v>
      </c>
      <c r="K19" s="14">
        <v>18</v>
      </c>
      <c r="L19" s="14">
        <v>20</v>
      </c>
      <c r="M19" s="14">
        <v>23</v>
      </c>
      <c r="N19" s="56">
        <v>23</v>
      </c>
      <c r="O19" s="125"/>
      <c r="P19" s="14">
        <v>0</v>
      </c>
      <c r="Q19" s="27">
        <v>0</v>
      </c>
      <c r="R19" s="14">
        <v>1</v>
      </c>
      <c r="S19" s="27">
        <v>5.8823529411764705E-2</v>
      </c>
      <c r="T19" s="14">
        <v>0</v>
      </c>
      <c r="U19" s="27">
        <v>0</v>
      </c>
      <c r="V19" s="14">
        <v>0</v>
      </c>
      <c r="W19" s="27">
        <v>0</v>
      </c>
      <c r="X19" s="14">
        <v>0</v>
      </c>
      <c r="Y19" s="27">
        <v>0</v>
      </c>
      <c r="Z19" s="56"/>
      <c r="AA19" s="104">
        <f t="shared" si="0"/>
        <v>0</v>
      </c>
      <c r="AB19" s="125"/>
      <c r="AC19" s="14">
        <v>0</v>
      </c>
      <c r="AD19" s="27">
        <v>0</v>
      </c>
      <c r="AE19" s="14">
        <v>0</v>
      </c>
      <c r="AF19" s="27">
        <v>0</v>
      </c>
      <c r="AG19" s="14">
        <v>0</v>
      </c>
      <c r="AH19" s="27">
        <v>0</v>
      </c>
      <c r="AI19" s="14">
        <v>0</v>
      </c>
      <c r="AJ19" s="27">
        <v>0</v>
      </c>
      <c r="AK19" s="14">
        <v>0</v>
      </c>
      <c r="AL19" s="27">
        <v>0</v>
      </c>
      <c r="AM19" s="56"/>
      <c r="AN19" s="104">
        <f t="shared" si="1"/>
        <v>0</v>
      </c>
      <c r="AO19" s="214" t="str">
        <f t="shared" si="2"/>
        <v>OK</v>
      </c>
      <c r="AP19" t="s">
        <v>6</v>
      </c>
      <c r="AQ19">
        <v>24</v>
      </c>
      <c r="AR19">
        <v>23</v>
      </c>
      <c r="AT19" s="288">
        <v>0</v>
      </c>
      <c r="AV19" s="288">
        <v>0</v>
      </c>
    </row>
    <row r="20" spans="1:48" x14ac:dyDescent="0.25">
      <c r="A20" s="17" t="s">
        <v>30</v>
      </c>
      <c r="B20" s="14">
        <v>17</v>
      </c>
      <c r="C20" s="14">
        <v>16</v>
      </c>
      <c r="D20" s="14">
        <v>18</v>
      </c>
      <c r="E20" s="14">
        <v>19</v>
      </c>
      <c r="F20" s="14">
        <v>19</v>
      </c>
      <c r="G20" s="56">
        <v>18</v>
      </c>
      <c r="H20" s="125"/>
      <c r="I20" s="14">
        <v>17</v>
      </c>
      <c r="J20" s="14">
        <v>15</v>
      </c>
      <c r="K20" s="14">
        <v>16</v>
      </c>
      <c r="L20" s="14">
        <v>18</v>
      </c>
      <c r="M20" s="14">
        <v>17</v>
      </c>
      <c r="N20" s="56">
        <v>18</v>
      </c>
      <c r="O20" s="125"/>
      <c r="P20" s="14">
        <v>8</v>
      </c>
      <c r="Q20" s="27">
        <v>0.47058823529411764</v>
      </c>
      <c r="R20" s="14">
        <v>5</v>
      </c>
      <c r="S20" s="27">
        <v>0.33333333333333331</v>
      </c>
      <c r="T20" s="14">
        <v>2</v>
      </c>
      <c r="U20" s="27">
        <v>0.125</v>
      </c>
      <c r="V20" s="14">
        <v>3</v>
      </c>
      <c r="W20" s="27">
        <v>0.16666666666666666</v>
      </c>
      <c r="X20" s="14">
        <v>0</v>
      </c>
      <c r="Y20" s="27">
        <v>0</v>
      </c>
      <c r="Z20" s="56"/>
      <c r="AA20" s="104">
        <f t="shared" si="0"/>
        <v>0</v>
      </c>
      <c r="AB20" s="125"/>
      <c r="AC20" s="14">
        <v>0</v>
      </c>
      <c r="AD20" s="27">
        <v>0</v>
      </c>
      <c r="AE20" s="14">
        <v>1</v>
      </c>
      <c r="AF20" s="27">
        <v>6.6666666666666666E-2</v>
      </c>
      <c r="AG20" s="14">
        <v>0</v>
      </c>
      <c r="AH20" s="27">
        <v>0</v>
      </c>
      <c r="AI20" s="14">
        <v>0</v>
      </c>
      <c r="AJ20" s="27">
        <v>0</v>
      </c>
      <c r="AK20" s="14">
        <v>0</v>
      </c>
      <c r="AL20" s="27">
        <v>0</v>
      </c>
      <c r="AM20" s="56"/>
      <c r="AN20" s="104">
        <f t="shared" si="1"/>
        <v>0</v>
      </c>
      <c r="AO20" s="214" t="str">
        <f t="shared" si="2"/>
        <v>OK</v>
      </c>
      <c r="AP20" t="s">
        <v>30</v>
      </c>
      <c r="AQ20">
        <v>18</v>
      </c>
      <c r="AR20">
        <v>18</v>
      </c>
      <c r="AT20" s="288">
        <v>0</v>
      </c>
      <c r="AV20" s="288">
        <v>0</v>
      </c>
    </row>
    <row r="21" spans="1:48" x14ac:dyDescent="0.25">
      <c r="A21" s="17" t="s">
        <v>8</v>
      </c>
      <c r="B21" s="14">
        <v>117</v>
      </c>
      <c r="C21" s="14">
        <v>122</v>
      </c>
      <c r="D21" s="14">
        <v>113</v>
      </c>
      <c r="E21" s="14">
        <v>118</v>
      </c>
      <c r="F21" s="14">
        <v>116</v>
      </c>
      <c r="G21" s="56">
        <v>109</v>
      </c>
      <c r="H21" s="125"/>
      <c r="I21" s="14">
        <v>108</v>
      </c>
      <c r="J21" s="14">
        <v>116</v>
      </c>
      <c r="K21" s="14">
        <v>109</v>
      </c>
      <c r="L21" s="14">
        <v>115</v>
      </c>
      <c r="M21" s="14">
        <v>113</v>
      </c>
      <c r="N21" s="56">
        <v>108</v>
      </c>
      <c r="O21" s="125"/>
      <c r="P21" s="14">
        <v>4</v>
      </c>
      <c r="Q21" s="27">
        <v>3.7037037037037035E-2</v>
      </c>
      <c r="R21" s="14">
        <v>6</v>
      </c>
      <c r="S21" s="27">
        <v>5.1724137931034482E-2</v>
      </c>
      <c r="T21" s="14">
        <v>2</v>
      </c>
      <c r="U21" s="27">
        <v>1.834862385321101E-2</v>
      </c>
      <c r="V21" s="14">
        <v>3</v>
      </c>
      <c r="W21" s="27">
        <v>2.6086956521739129E-2</v>
      </c>
      <c r="X21" s="14">
        <v>1</v>
      </c>
      <c r="Y21" s="27">
        <v>8.8495575221238937E-3</v>
      </c>
      <c r="Z21" s="56">
        <v>1</v>
      </c>
      <c r="AA21" s="104">
        <f t="shared" si="0"/>
        <v>9.2592592592592587E-3</v>
      </c>
      <c r="AB21" s="125"/>
      <c r="AC21" s="14">
        <v>1</v>
      </c>
      <c r="AD21" s="27">
        <v>9.2592592592592587E-3</v>
      </c>
      <c r="AE21" s="14">
        <v>2</v>
      </c>
      <c r="AF21" s="27">
        <v>1.7241379310344827E-2</v>
      </c>
      <c r="AG21" s="14">
        <v>0</v>
      </c>
      <c r="AH21" s="27">
        <v>0</v>
      </c>
      <c r="AI21" s="14">
        <v>1</v>
      </c>
      <c r="AJ21" s="27">
        <v>8.6956521739130436E-3</v>
      </c>
      <c r="AK21" s="14">
        <v>3</v>
      </c>
      <c r="AL21" s="27">
        <v>2.6548672566371681E-2</v>
      </c>
      <c r="AM21" s="56">
        <v>1</v>
      </c>
      <c r="AN21" s="104">
        <f t="shared" si="1"/>
        <v>9.2592592592592587E-3</v>
      </c>
      <c r="AO21" s="214" t="str">
        <f t="shared" si="2"/>
        <v>OK</v>
      </c>
      <c r="AP21" t="s">
        <v>8</v>
      </c>
      <c r="AQ21">
        <v>109</v>
      </c>
      <c r="AR21">
        <v>108</v>
      </c>
      <c r="AS21">
        <v>1</v>
      </c>
      <c r="AT21" s="288">
        <v>9.2592592592592587E-3</v>
      </c>
      <c r="AU21">
        <v>1</v>
      </c>
      <c r="AV21" s="288">
        <v>9.2592592592592587E-3</v>
      </c>
    </row>
    <row r="22" spans="1:48" x14ac:dyDescent="0.25">
      <c r="A22" s="17" t="s">
        <v>9</v>
      </c>
      <c r="B22" s="14">
        <v>31</v>
      </c>
      <c r="C22" s="14">
        <v>30</v>
      </c>
      <c r="D22" s="14">
        <v>30</v>
      </c>
      <c r="E22" s="14">
        <v>29</v>
      </c>
      <c r="F22" s="14">
        <v>24</v>
      </c>
      <c r="G22" s="56">
        <v>25</v>
      </c>
      <c r="H22" s="125"/>
      <c r="I22" s="14">
        <v>30</v>
      </c>
      <c r="J22" s="14">
        <v>27</v>
      </c>
      <c r="K22" s="14">
        <v>28</v>
      </c>
      <c r="L22" s="14">
        <v>26</v>
      </c>
      <c r="M22" s="14">
        <v>21</v>
      </c>
      <c r="N22" s="56">
        <v>21</v>
      </c>
      <c r="O22" s="125"/>
      <c r="P22" s="14">
        <v>1</v>
      </c>
      <c r="Q22" s="27">
        <v>3.3333333333333333E-2</v>
      </c>
      <c r="R22" s="14">
        <v>1</v>
      </c>
      <c r="S22" s="27">
        <v>3.7037037037037035E-2</v>
      </c>
      <c r="T22" s="14">
        <v>2</v>
      </c>
      <c r="U22" s="27">
        <v>7.1428571428571425E-2</v>
      </c>
      <c r="V22" s="14">
        <v>1</v>
      </c>
      <c r="W22" s="27">
        <v>3.8461538461538464E-2</v>
      </c>
      <c r="X22" s="14">
        <v>1</v>
      </c>
      <c r="Y22" s="27">
        <v>4.7619047619047616E-2</v>
      </c>
      <c r="Z22" s="56">
        <v>2</v>
      </c>
      <c r="AA22" s="104">
        <f t="shared" si="0"/>
        <v>9.5238095238095233E-2</v>
      </c>
      <c r="AB22" s="125"/>
      <c r="AC22" s="14">
        <v>2</v>
      </c>
      <c r="AD22" s="27">
        <v>6.6666666666666666E-2</v>
      </c>
      <c r="AE22" s="14">
        <v>1</v>
      </c>
      <c r="AF22" s="27">
        <v>3.7037037037037035E-2</v>
      </c>
      <c r="AG22" s="14">
        <v>1</v>
      </c>
      <c r="AH22" s="27">
        <v>3.5714285714285712E-2</v>
      </c>
      <c r="AI22" s="14">
        <v>0</v>
      </c>
      <c r="AJ22" s="27">
        <v>0</v>
      </c>
      <c r="AK22" s="14">
        <v>0</v>
      </c>
      <c r="AL22" s="27">
        <v>0</v>
      </c>
      <c r="AM22" s="56"/>
      <c r="AN22" s="104">
        <f t="shared" si="1"/>
        <v>0</v>
      </c>
      <c r="AO22" s="214" t="str">
        <f t="shared" si="2"/>
        <v>OK</v>
      </c>
      <c r="AP22" t="s">
        <v>9</v>
      </c>
      <c r="AQ22">
        <v>25</v>
      </c>
      <c r="AR22">
        <v>21</v>
      </c>
      <c r="AS22">
        <v>2</v>
      </c>
      <c r="AT22" s="288">
        <v>9.5238095238095233E-2</v>
      </c>
      <c r="AV22" s="288">
        <v>0</v>
      </c>
    </row>
    <row r="23" spans="1:48" x14ac:dyDescent="0.25">
      <c r="A23" s="17" t="s">
        <v>24</v>
      </c>
      <c r="B23" s="14">
        <v>1258</v>
      </c>
      <c r="C23" s="14">
        <v>1237</v>
      </c>
      <c r="D23" s="14">
        <v>1240</v>
      </c>
      <c r="E23" s="14">
        <v>1267</v>
      </c>
      <c r="F23" s="14">
        <v>1277</v>
      </c>
      <c r="G23" s="56">
        <v>1292</v>
      </c>
      <c r="H23" s="125"/>
      <c r="I23" s="14">
        <v>1186</v>
      </c>
      <c r="J23" s="14">
        <v>1167</v>
      </c>
      <c r="K23" s="14">
        <v>1150</v>
      </c>
      <c r="L23" s="14">
        <v>1190</v>
      </c>
      <c r="M23" s="14">
        <v>1220</v>
      </c>
      <c r="N23" s="56">
        <v>1190</v>
      </c>
      <c r="O23" s="125"/>
      <c r="P23" s="14">
        <v>245</v>
      </c>
      <c r="Q23" s="27">
        <v>0.20657672849915684</v>
      </c>
      <c r="R23" s="14">
        <v>247</v>
      </c>
      <c r="S23" s="27">
        <v>0.21165381319622964</v>
      </c>
      <c r="T23" s="14">
        <v>194</v>
      </c>
      <c r="U23" s="27">
        <v>0.16869565217391305</v>
      </c>
      <c r="V23" s="14">
        <v>215</v>
      </c>
      <c r="W23" s="27">
        <v>0.18067226890756302</v>
      </c>
      <c r="X23" s="14">
        <v>199</v>
      </c>
      <c r="Y23" s="27">
        <v>0.16311475409836065</v>
      </c>
      <c r="Z23" s="56">
        <v>166</v>
      </c>
      <c r="AA23" s="104">
        <f t="shared" si="0"/>
        <v>0.13949579831932774</v>
      </c>
      <c r="AB23" s="125"/>
      <c r="AC23" s="14">
        <v>27</v>
      </c>
      <c r="AD23" s="27">
        <v>2.2765598650927487E-2</v>
      </c>
      <c r="AE23" s="14">
        <v>31</v>
      </c>
      <c r="AF23" s="27">
        <v>2.6563838903170524E-2</v>
      </c>
      <c r="AG23" s="14">
        <v>34</v>
      </c>
      <c r="AH23" s="27">
        <v>2.9565217391304348E-2</v>
      </c>
      <c r="AI23" s="14">
        <v>25</v>
      </c>
      <c r="AJ23" s="27">
        <v>2.100840336134454E-2</v>
      </c>
      <c r="AK23" s="14">
        <v>29</v>
      </c>
      <c r="AL23" s="27">
        <v>2.3770491803278688E-2</v>
      </c>
      <c r="AM23" s="56">
        <v>29</v>
      </c>
      <c r="AN23" s="104">
        <f t="shared" si="1"/>
        <v>2.4369747899159664E-2</v>
      </c>
      <c r="AO23" s="214" t="str">
        <f t="shared" si="2"/>
        <v>OK</v>
      </c>
      <c r="AP23" t="s">
        <v>24</v>
      </c>
      <c r="AQ23">
        <v>1292</v>
      </c>
      <c r="AR23">
        <v>1190</v>
      </c>
      <c r="AS23">
        <v>166</v>
      </c>
      <c r="AT23" s="288">
        <v>0.13949579831932774</v>
      </c>
      <c r="AU23">
        <v>29</v>
      </c>
      <c r="AV23" s="288">
        <v>2.4369747899159664E-2</v>
      </c>
    </row>
    <row r="24" spans="1:48" x14ac:dyDescent="0.25">
      <c r="A24" s="17" t="s">
        <v>25</v>
      </c>
      <c r="B24" s="14">
        <v>1</v>
      </c>
      <c r="C24" s="14">
        <v>1</v>
      </c>
      <c r="D24" s="14">
        <v>1</v>
      </c>
      <c r="E24" s="14">
        <v>1</v>
      </c>
      <c r="F24" s="14">
        <v>1</v>
      </c>
      <c r="G24" s="56">
        <v>1</v>
      </c>
      <c r="H24" s="125"/>
      <c r="I24" s="14">
        <v>1</v>
      </c>
      <c r="J24" s="14">
        <v>1</v>
      </c>
      <c r="K24" s="14">
        <v>1</v>
      </c>
      <c r="L24" s="14">
        <v>1</v>
      </c>
      <c r="M24" s="14">
        <v>1</v>
      </c>
      <c r="N24" s="56">
        <v>1</v>
      </c>
      <c r="O24" s="125"/>
      <c r="P24" s="14">
        <v>0</v>
      </c>
      <c r="Q24" s="27">
        <v>0</v>
      </c>
      <c r="R24" s="14">
        <v>0</v>
      </c>
      <c r="S24" s="27">
        <v>0</v>
      </c>
      <c r="T24" s="14">
        <v>0</v>
      </c>
      <c r="U24" s="27">
        <v>0</v>
      </c>
      <c r="V24" s="14">
        <v>0</v>
      </c>
      <c r="W24" s="27">
        <v>0</v>
      </c>
      <c r="X24" s="14">
        <v>0</v>
      </c>
      <c r="Y24" s="27">
        <v>0</v>
      </c>
      <c r="Z24" s="56"/>
      <c r="AA24" s="104">
        <f t="shared" si="0"/>
        <v>0</v>
      </c>
      <c r="AB24" s="125"/>
      <c r="AC24" s="14">
        <v>0</v>
      </c>
      <c r="AD24" s="27">
        <v>0</v>
      </c>
      <c r="AE24" s="14">
        <v>0</v>
      </c>
      <c r="AF24" s="27">
        <v>0</v>
      </c>
      <c r="AG24" s="14">
        <v>0</v>
      </c>
      <c r="AH24" s="27">
        <v>0</v>
      </c>
      <c r="AI24" s="14">
        <v>0</v>
      </c>
      <c r="AJ24" s="27">
        <v>0</v>
      </c>
      <c r="AK24" s="14">
        <v>0</v>
      </c>
      <c r="AL24" s="27">
        <v>0</v>
      </c>
      <c r="AM24" s="56"/>
      <c r="AN24" s="104">
        <f t="shared" si="1"/>
        <v>0</v>
      </c>
      <c r="AO24" s="214" t="str">
        <f t="shared" si="2"/>
        <v>OK</v>
      </c>
      <c r="AP24" t="s">
        <v>25</v>
      </c>
      <c r="AQ24">
        <v>1</v>
      </c>
      <c r="AR24">
        <v>1</v>
      </c>
      <c r="AT24" s="288">
        <v>0</v>
      </c>
      <c r="AV24" s="288">
        <v>0</v>
      </c>
    </row>
    <row r="25" spans="1:48" x14ac:dyDescent="0.25">
      <c r="A25" s="17" t="s">
        <v>34</v>
      </c>
      <c r="B25" s="14">
        <v>4</v>
      </c>
      <c r="C25" s="14">
        <v>4</v>
      </c>
      <c r="D25" s="14">
        <v>3</v>
      </c>
      <c r="E25" s="14">
        <v>3</v>
      </c>
      <c r="F25" s="14">
        <v>2</v>
      </c>
      <c r="G25" s="56">
        <v>2</v>
      </c>
      <c r="H25" s="125"/>
      <c r="I25" s="14">
        <v>4</v>
      </c>
      <c r="J25" s="14">
        <v>4</v>
      </c>
      <c r="K25" s="14">
        <v>3</v>
      </c>
      <c r="L25" s="14">
        <v>3</v>
      </c>
      <c r="M25" s="14">
        <v>2</v>
      </c>
      <c r="N25" s="56">
        <v>2</v>
      </c>
      <c r="O25" s="125"/>
      <c r="P25" s="14">
        <v>0</v>
      </c>
      <c r="Q25" s="27">
        <v>0</v>
      </c>
      <c r="R25" s="14">
        <v>0</v>
      </c>
      <c r="S25" s="27">
        <v>0</v>
      </c>
      <c r="T25" s="14">
        <v>0</v>
      </c>
      <c r="U25" s="27">
        <v>0</v>
      </c>
      <c r="V25" s="14">
        <v>0</v>
      </c>
      <c r="W25" s="27">
        <v>0</v>
      </c>
      <c r="X25" s="14">
        <v>1</v>
      </c>
      <c r="Y25" s="27">
        <v>0.5</v>
      </c>
      <c r="Z25" s="56"/>
      <c r="AA25" s="104">
        <f t="shared" si="0"/>
        <v>0</v>
      </c>
      <c r="AB25" s="125"/>
      <c r="AC25" s="14">
        <v>1</v>
      </c>
      <c r="AD25" s="27">
        <v>0.25</v>
      </c>
      <c r="AE25" s="14">
        <v>1</v>
      </c>
      <c r="AF25" s="27">
        <v>0.25</v>
      </c>
      <c r="AG25" s="14">
        <v>1</v>
      </c>
      <c r="AH25" s="27">
        <v>0.33333333333333331</v>
      </c>
      <c r="AI25" s="14">
        <v>0</v>
      </c>
      <c r="AJ25" s="27">
        <v>0</v>
      </c>
      <c r="AK25" s="14">
        <v>0</v>
      </c>
      <c r="AL25" s="27">
        <v>0</v>
      </c>
      <c r="AM25" s="56"/>
      <c r="AN25" s="104">
        <f t="shared" si="1"/>
        <v>0</v>
      </c>
      <c r="AO25" s="214" t="str">
        <f t="shared" si="2"/>
        <v>OK</v>
      </c>
      <c r="AP25" t="s">
        <v>34</v>
      </c>
      <c r="AQ25">
        <v>2</v>
      </c>
      <c r="AR25">
        <v>2</v>
      </c>
      <c r="AT25" s="288">
        <v>0</v>
      </c>
      <c r="AV25" s="288">
        <v>0</v>
      </c>
    </row>
    <row r="26" spans="1:48" x14ac:dyDescent="0.25">
      <c r="A26" s="17" t="s">
        <v>10</v>
      </c>
      <c r="B26" s="14">
        <v>45</v>
      </c>
      <c r="C26" s="14">
        <v>44</v>
      </c>
      <c r="D26" s="14">
        <v>40</v>
      </c>
      <c r="E26" s="14">
        <v>30</v>
      </c>
      <c r="F26" s="14">
        <v>33</v>
      </c>
      <c r="G26" s="56">
        <v>31</v>
      </c>
      <c r="H26" s="125"/>
      <c r="I26" s="14">
        <v>43</v>
      </c>
      <c r="J26" s="14">
        <v>41</v>
      </c>
      <c r="K26" s="14">
        <v>39</v>
      </c>
      <c r="L26" s="14">
        <v>29</v>
      </c>
      <c r="M26" s="14">
        <v>29</v>
      </c>
      <c r="N26" s="56">
        <v>28</v>
      </c>
      <c r="O26" s="125"/>
      <c r="P26" s="14">
        <v>5</v>
      </c>
      <c r="Q26" s="27">
        <v>0.11627906976744186</v>
      </c>
      <c r="R26" s="14">
        <v>4</v>
      </c>
      <c r="S26" s="27">
        <v>9.7560975609756101E-2</v>
      </c>
      <c r="T26" s="14">
        <v>2</v>
      </c>
      <c r="U26" s="27">
        <v>5.128205128205128E-2</v>
      </c>
      <c r="V26" s="14">
        <v>1</v>
      </c>
      <c r="W26" s="27">
        <v>3.4482758620689655E-2</v>
      </c>
      <c r="X26" s="14">
        <v>0</v>
      </c>
      <c r="Y26" s="27">
        <v>0</v>
      </c>
      <c r="Z26" s="56"/>
      <c r="AA26" s="104">
        <f t="shared" si="0"/>
        <v>0</v>
      </c>
      <c r="AB26" s="125"/>
      <c r="AC26" s="14">
        <v>4</v>
      </c>
      <c r="AD26" s="27">
        <v>9.3023255813953487E-2</v>
      </c>
      <c r="AE26" s="14">
        <v>1</v>
      </c>
      <c r="AF26" s="27">
        <v>2.4390243902439025E-2</v>
      </c>
      <c r="AG26" s="14">
        <v>0</v>
      </c>
      <c r="AH26" s="27">
        <v>0</v>
      </c>
      <c r="AI26" s="14">
        <v>1</v>
      </c>
      <c r="AJ26" s="27">
        <v>3.4482758620689655E-2</v>
      </c>
      <c r="AK26" s="14">
        <v>2</v>
      </c>
      <c r="AL26" s="27">
        <v>6.8965517241379309E-2</v>
      </c>
      <c r="AM26" s="56">
        <v>2</v>
      </c>
      <c r="AN26" s="104">
        <f t="shared" si="1"/>
        <v>7.1428571428571425E-2</v>
      </c>
      <c r="AO26" s="214" t="str">
        <f t="shared" si="2"/>
        <v>No</v>
      </c>
      <c r="AP26" t="s">
        <v>377</v>
      </c>
      <c r="AQ26">
        <v>31</v>
      </c>
      <c r="AR26">
        <v>28</v>
      </c>
      <c r="AT26" s="288">
        <v>0</v>
      </c>
      <c r="AU26">
        <v>2</v>
      </c>
      <c r="AV26" s="288">
        <v>7.1428571428571425E-2</v>
      </c>
    </row>
    <row r="27" spans="1:48" x14ac:dyDescent="0.25">
      <c r="A27" s="17" t="s">
        <v>11</v>
      </c>
      <c r="B27" s="14">
        <v>256</v>
      </c>
      <c r="C27" s="14">
        <v>277</v>
      </c>
      <c r="D27" s="14">
        <v>314</v>
      </c>
      <c r="E27" s="14">
        <v>312</v>
      </c>
      <c r="F27" s="14">
        <v>305</v>
      </c>
      <c r="G27" s="56">
        <v>338</v>
      </c>
      <c r="H27" s="125"/>
      <c r="I27" s="14">
        <v>240</v>
      </c>
      <c r="J27" s="14">
        <v>258</v>
      </c>
      <c r="K27" s="14">
        <v>292</v>
      </c>
      <c r="L27" s="14">
        <v>282</v>
      </c>
      <c r="M27" s="14">
        <v>283</v>
      </c>
      <c r="N27" s="56">
        <v>314</v>
      </c>
      <c r="O27" s="125"/>
      <c r="P27" s="14">
        <v>24</v>
      </c>
      <c r="Q27" s="27">
        <v>0.1</v>
      </c>
      <c r="R27" s="14">
        <v>18</v>
      </c>
      <c r="S27" s="27">
        <v>6.9767441860465115E-2</v>
      </c>
      <c r="T27" s="14">
        <v>21</v>
      </c>
      <c r="U27" s="27">
        <v>7.1917808219178078E-2</v>
      </c>
      <c r="V27" s="14">
        <v>14</v>
      </c>
      <c r="W27" s="27">
        <v>4.9645390070921988E-2</v>
      </c>
      <c r="X27" s="14">
        <v>14</v>
      </c>
      <c r="Y27" s="27">
        <v>4.9469964664310952E-2</v>
      </c>
      <c r="Z27" s="56">
        <v>11</v>
      </c>
      <c r="AA27" s="104">
        <f t="shared" si="0"/>
        <v>3.5031847133757961E-2</v>
      </c>
      <c r="AB27" s="125"/>
      <c r="AC27" s="14">
        <v>1</v>
      </c>
      <c r="AD27" s="27">
        <v>4.1666666666666666E-3</v>
      </c>
      <c r="AE27" s="14">
        <v>6</v>
      </c>
      <c r="AF27" s="27">
        <v>2.3255813953488372E-2</v>
      </c>
      <c r="AG27" s="14">
        <v>7</v>
      </c>
      <c r="AH27" s="27">
        <v>2.3972602739726026E-2</v>
      </c>
      <c r="AI27" s="14">
        <v>3</v>
      </c>
      <c r="AJ27" s="27">
        <v>1.0638297872340425E-2</v>
      </c>
      <c r="AK27" s="14">
        <v>4</v>
      </c>
      <c r="AL27" s="27">
        <v>1.4134275618374558E-2</v>
      </c>
      <c r="AM27" s="56">
        <v>10</v>
      </c>
      <c r="AN27" s="104">
        <f t="shared" si="1"/>
        <v>3.1847133757961783E-2</v>
      </c>
      <c r="AO27" s="214" t="str">
        <f t="shared" si="2"/>
        <v>No</v>
      </c>
      <c r="AP27" t="s">
        <v>378</v>
      </c>
      <c r="AQ27">
        <v>338</v>
      </c>
      <c r="AR27">
        <v>314</v>
      </c>
      <c r="AS27">
        <v>11</v>
      </c>
      <c r="AT27" s="288">
        <v>3.5031847133757961E-2</v>
      </c>
      <c r="AU27">
        <v>10</v>
      </c>
      <c r="AV27" s="288">
        <v>3.1847133757961783E-2</v>
      </c>
    </row>
    <row r="28" spans="1:48" x14ac:dyDescent="0.25">
      <c r="A28" s="17" t="s">
        <v>197</v>
      </c>
      <c r="B28" s="14">
        <v>51</v>
      </c>
      <c r="C28" s="14">
        <v>56</v>
      </c>
      <c r="D28" s="14">
        <v>55</v>
      </c>
      <c r="E28" s="14">
        <v>55</v>
      </c>
      <c r="F28" s="14">
        <v>53</v>
      </c>
      <c r="G28" s="56">
        <v>60</v>
      </c>
      <c r="H28" s="125"/>
      <c r="I28" s="14">
        <v>45</v>
      </c>
      <c r="J28" s="14">
        <v>49</v>
      </c>
      <c r="K28" s="14">
        <v>51</v>
      </c>
      <c r="L28" s="14">
        <v>53</v>
      </c>
      <c r="M28" s="14">
        <v>49</v>
      </c>
      <c r="N28" s="56">
        <v>54</v>
      </c>
      <c r="O28" s="125"/>
      <c r="P28" s="14">
        <v>1</v>
      </c>
      <c r="Q28" s="27">
        <v>2.2222222222222223E-2</v>
      </c>
      <c r="R28" s="14">
        <v>1</v>
      </c>
      <c r="S28" s="27">
        <v>2.0408163265306121E-2</v>
      </c>
      <c r="T28" s="14">
        <v>3</v>
      </c>
      <c r="U28" s="27">
        <v>5.8823529411764705E-2</v>
      </c>
      <c r="V28" s="14">
        <v>3</v>
      </c>
      <c r="W28" s="27">
        <v>5.6603773584905662E-2</v>
      </c>
      <c r="X28" s="14">
        <v>5</v>
      </c>
      <c r="Y28" s="27">
        <v>0.10204081632653061</v>
      </c>
      <c r="Z28" s="56">
        <v>2</v>
      </c>
      <c r="AA28" s="104">
        <f t="shared" si="0"/>
        <v>3.7037037037037035E-2</v>
      </c>
      <c r="AB28" s="125"/>
      <c r="AC28" s="14">
        <v>1</v>
      </c>
      <c r="AD28" s="27">
        <v>2.2222222222222223E-2</v>
      </c>
      <c r="AE28" s="14">
        <v>0</v>
      </c>
      <c r="AF28" s="27">
        <v>0</v>
      </c>
      <c r="AG28" s="14">
        <v>1</v>
      </c>
      <c r="AH28" s="27">
        <v>1.9607843137254902E-2</v>
      </c>
      <c r="AI28" s="14">
        <v>2</v>
      </c>
      <c r="AJ28" s="27">
        <v>3.7735849056603772E-2</v>
      </c>
      <c r="AK28" s="14">
        <v>0</v>
      </c>
      <c r="AL28" s="27">
        <v>0</v>
      </c>
      <c r="AM28" s="56">
        <v>1</v>
      </c>
      <c r="AN28" s="104">
        <f t="shared" si="1"/>
        <v>1.8518518518518517E-2</v>
      </c>
      <c r="AO28" s="214" t="str">
        <f t="shared" si="2"/>
        <v>OK</v>
      </c>
      <c r="AP28" t="s">
        <v>197</v>
      </c>
      <c r="AQ28">
        <v>60</v>
      </c>
      <c r="AR28">
        <v>54</v>
      </c>
      <c r="AS28">
        <v>2</v>
      </c>
      <c r="AT28" s="288">
        <v>3.7037037037037035E-2</v>
      </c>
      <c r="AU28">
        <v>1</v>
      </c>
      <c r="AV28" s="288">
        <v>1.8518518518518517E-2</v>
      </c>
    </row>
    <row r="29" spans="1:48" x14ac:dyDescent="0.25">
      <c r="A29" s="17" t="s">
        <v>12</v>
      </c>
      <c r="B29" s="14">
        <v>115</v>
      </c>
      <c r="C29" s="14">
        <v>122</v>
      </c>
      <c r="D29" s="14">
        <v>118</v>
      </c>
      <c r="E29" s="14">
        <v>123</v>
      </c>
      <c r="F29" s="14">
        <v>120</v>
      </c>
      <c r="G29" s="56">
        <v>121</v>
      </c>
      <c r="H29" s="125"/>
      <c r="I29" s="14">
        <v>110</v>
      </c>
      <c r="J29" s="14">
        <v>110</v>
      </c>
      <c r="K29" s="14">
        <v>114</v>
      </c>
      <c r="L29" s="14">
        <v>117</v>
      </c>
      <c r="M29" s="14">
        <v>114</v>
      </c>
      <c r="N29" s="56">
        <v>118</v>
      </c>
      <c r="O29" s="125"/>
      <c r="P29" s="14">
        <v>15</v>
      </c>
      <c r="Q29" s="27">
        <v>0.13636363636363635</v>
      </c>
      <c r="R29" s="14">
        <v>17</v>
      </c>
      <c r="S29" s="27">
        <v>0.15454545454545454</v>
      </c>
      <c r="T29" s="14">
        <v>15</v>
      </c>
      <c r="U29" s="27">
        <v>0.13157894736842105</v>
      </c>
      <c r="V29" s="14">
        <v>2</v>
      </c>
      <c r="W29" s="27">
        <v>1.7094017094017096E-2</v>
      </c>
      <c r="X29" s="14">
        <v>5</v>
      </c>
      <c r="Y29" s="27">
        <v>4.3859649122807015E-2</v>
      </c>
      <c r="Z29" s="56">
        <v>3</v>
      </c>
      <c r="AA29" s="104">
        <f t="shared" si="0"/>
        <v>2.5423728813559324E-2</v>
      </c>
      <c r="AB29" s="125"/>
      <c r="AC29" s="14">
        <v>3</v>
      </c>
      <c r="AD29" s="27">
        <v>2.7272727272727271E-2</v>
      </c>
      <c r="AE29" s="14">
        <v>5</v>
      </c>
      <c r="AF29" s="27">
        <v>4.5454545454545456E-2</v>
      </c>
      <c r="AG29" s="14">
        <v>5</v>
      </c>
      <c r="AH29" s="27">
        <v>4.3859649122807015E-2</v>
      </c>
      <c r="AI29" s="14">
        <v>3</v>
      </c>
      <c r="AJ29" s="27">
        <v>2.564102564102564E-2</v>
      </c>
      <c r="AK29" s="14">
        <v>1</v>
      </c>
      <c r="AL29" s="27">
        <v>8.771929824561403E-3</v>
      </c>
      <c r="AM29" s="56">
        <v>3</v>
      </c>
      <c r="AN29" s="104">
        <f t="shared" si="1"/>
        <v>2.5423728813559324E-2</v>
      </c>
      <c r="AO29" s="214" t="str">
        <f t="shared" si="2"/>
        <v>OK</v>
      </c>
      <c r="AP29" t="s">
        <v>12</v>
      </c>
      <c r="AQ29">
        <v>121</v>
      </c>
      <c r="AR29">
        <v>118</v>
      </c>
      <c r="AS29">
        <v>3</v>
      </c>
      <c r="AT29" s="288">
        <v>2.5423728813559324E-2</v>
      </c>
      <c r="AU29">
        <v>3</v>
      </c>
      <c r="AV29" s="288">
        <v>2.5423728813559324E-2</v>
      </c>
    </row>
    <row r="30" spans="1:48" x14ac:dyDescent="0.25">
      <c r="A30" s="17" t="s">
        <v>13</v>
      </c>
      <c r="B30" s="14">
        <v>78</v>
      </c>
      <c r="C30" s="14">
        <v>76</v>
      </c>
      <c r="D30" s="14">
        <v>68</v>
      </c>
      <c r="E30" s="14">
        <v>79</v>
      </c>
      <c r="F30" s="14">
        <v>83</v>
      </c>
      <c r="G30" s="56">
        <v>87</v>
      </c>
      <c r="H30" s="125"/>
      <c r="I30" s="14">
        <v>77</v>
      </c>
      <c r="J30" s="14">
        <v>71</v>
      </c>
      <c r="K30" s="14">
        <v>65</v>
      </c>
      <c r="L30" s="14">
        <v>77</v>
      </c>
      <c r="M30" s="14">
        <v>79</v>
      </c>
      <c r="N30" s="56">
        <v>83</v>
      </c>
      <c r="O30" s="125"/>
      <c r="P30" s="14">
        <v>7</v>
      </c>
      <c r="Q30" s="27">
        <v>9.0909090909090912E-2</v>
      </c>
      <c r="R30" s="14">
        <v>2</v>
      </c>
      <c r="S30" s="27">
        <v>2.8169014084507043E-2</v>
      </c>
      <c r="T30" s="14">
        <v>4</v>
      </c>
      <c r="U30" s="27">
        <v>6.1538461538461542E-2</v>
      </c>
      <c r="V30" s="14">
        <v>2</v>
      </c>
      <c r="W30" s="27">
        <v>2.5974025974025976E-2</v>
      </c>
      <c r="X30" s="14">
        <v>3</v>
      </c>
      <c r="Y30" s="27">
        <v>3.7974683544303799E-2</v>
      </c>
      <c r="Z30" s="56">
        <v>3</v>
      </c>
      <c r="AA30" s="104">
        <f t="shared" si="0"/>
        <v>3.614457831325301E-2</v>
      </c>
      <c r="AB30" s="125"/>
      <c r="AC30" s="14">
        <v>5</v>
      </c>
      <c r="AD30" s="27">
        <v>6.4935064935064929E-2</v>
      </c>
      <c r="AE30" s="14">
        <v>3</v>
      </c>
      <c r="AF30" s="27">
        <v>4.2253521126760563E-2</v>
      </c>
      <c r="AG30" s="14">
        <v>5</v>
      </c>
      <c r="AH30" s="27">
        <v>7.6923076923076927E-2</v>
      </c>
      <c r="AI30" s="14">
        <v>7</v>
      </c>
      <c r="AJ30" s="27">
        <v>9.0909090909090912E-2</v>
      </c>
      <c r="AK30" s="14">
        <v>1</v>
      </c>
      <c r="AL30" s="27">
        <v>1.2658227848101266E-2</v>
      </c>
      <c r="AM30" s="56">
        <v>3</v>
      </c>
      <c r="AN30" s="104">
        <f t="shared" si="1"/>
        <v>3.614457831325301E-2</v>
      </c>
      <c r="AO30" s="214" t="str">
        <f t="shared" si="2"/>
        <v>OK</v>
      </c>
      <c r="AP30" t="s">
        <v>13</v>
      </c>
      <c r="AQ30">
        <v>87</v>
      </c>
      <c r="AR30">
        <v>83</v>
      </c>
      <c r="AS30">
        <v>3</v>
      </c>
      <c r="AT30" s="288">
        <v>3.614457831325301E-2</v>
      </c>
      <c r="AU30">
        <v>3</v>
      </c>
      <c r="AV30" s="288">
        <v>3.614457831325301E-2</v>
      </c>
    </row>
    <row r="31" spans="1:48" x14ac:dyDescent="0.25">
      <c r="A31" s="17" t="s">
        <v>14</v>
      </c>
      <c r="B31" s="14">
        <v>48</v>
      </c>
      <c r="C31" s="14">
        <v>46</v>
      </c>
      <c r="D31" s="14">
        <v>54</v>
      </c>
      <c r="E31" s="14">
        <v>56</v>
      </c>
      <c r="F31" s="14">
        <v>54</v>
      </c>
      <c r="G31" s="56">
        <v>52</v>
      </c>
      <c r="H31" s="125"/>
      <c r="I31" s="14">
        <v>46</v>
      </c>
      <c r="J31" s="14">
        <v>39</v>
      </c>
      <c r="K31" s="14">
        <v>51</v>
      </c>
      <c r="L31" s="14">
        <v>50</v>
      </c>
      <c r="M31" s="14">
        <v>52</v>
      </c>
      <c r="N31" s="56">
        <v>50</v>
      </c>
      <c r="O31" s="125"/>
      <c r="P31" s="14">
        <v>2</v>
      </c>
      <c r="Q31" s="27">
        <v>4.3478260869565216E-2</v>
      </c>
      <c r="R31" s="14">
        <v>2</v>
      </c>
      <c r="S31" s="27">
        <v>5.128205128205128E-2</v>
      </c>
      <c r="T31" s="14">
        <v>2</v>
      </c>
      <c r="U31" s="27">
        <v>3.9215686274509803E-2</v>
      </c>
      <c r="V31" s="14">
        <v>5</v>
      </c>
      <c r="W31" s="27">
        <v>0.1</v>
      </c>
      <c r="X31" s="14">
        <v>0</v>
      </c>
      <c r="Y31" s="27">
        <v>0</v>
      </c>
      <c r="Z31" s="56"/>
      <c r="AA31" s="104">
        <f t="shared" si="0"/>
        <v>0</v>
      </c>
      <c r="AB31" s="125"/>
      <c r="AC31" s="14">
        <v>1</v>
      </c>
      <c r="AD31" s="27">
        <v>2.1739130434782608E-2</v>
      </c>
      <c r="AE31" s="14">
        <v>1</v>
      </c>
      <c r="AF31" s="27">
        <v>2.564102564102564E-2</v>
      </c>
      <c r="AG31" s="14">
        <v>2</v>
      </c>
      <c r="AH31" s="27">
        <v>3.9215686274509803E-2</v>
      </c>
      <c r="AI31" s="14">
        <v>3</v>
      </c>
      <c r="AJ31" s="27">
        <v>0.06</v>
      </c>
      <c r="AK31" s="14">
        <v>0</v>
      </c>
      <c r="AL31" s="27">
        <v>0</v>
      </c>
      <c r="AM31" s="56"/>
      <c r="AN31" s="104">
        <f t="shared" si="1"/>
        <v>0</v>
      </c>
      <c r="AO31" s="214" t="str">
        <f t="shared" si="2"/>
        <v>OK</v>
      </c>
      <c r="AP31" t="s">
        <v>14</v>
      </c>
      <c r="AQ31">
        <v>52</v>
      </c>
      <c r="AR31">
        <v>50</v>
      </c>
      <c r="AT31" s="288">
        <v>0</v>
      </c>
      <c r="AV31" s="288">
        <v>0</v>
      </c>
    </row>
    <row r="32" spans="1:48" x14ac:dyDescent="0.25">
      <c r="A32" s="17" t="s">
        <v>15</v>
      </c>
      <c r="B32" s="14">
        <v>22</v>
      </c>
      <c r="C32" s="14">
        <v>22</v>
      </c>
      <c r="D32" s="14">
        <v>20</v>
      </c>
      <c r="E32" s="14">
        <v>18</v>
      </c>
      <c r="F32" s="14">
        <v>21</v>
      </c>
      <c r="G32" s="56">
        <v>24</v>
      </c>
      <c r="H32" s="125"/>
      <c r="I32" s="14">
        <v>18</v>
      </c>
      <c r="J32" s="14">
        <v>17</v>
      </c>
      <c r="K32" s="14">
        <v>19</v>
      </c>
      <c r="L32" s="14">
        <v>17</v>
      </c>
      <c r="M32" s="14">
        <v>20</v>
      </c>
      <c r="N32" s="56">
        <v>23</v>
      </c>
      <c r="O32" s="125"/>
      <c r="P32" s="14">
        <v>0</v>
      </c>
      <c r="Q32" s="27">
        <v>0</v>
      </c>
      <c r="R32" s="14">
        <v>0</v>
      </c>
      <c r="S32" s="27">
        <v>0</v>
      </c>
      <c r="T32" s="14">
        <v>0</v>
      </c>
      <c r="U32" s="27">
        <v>0</v>
      </c>
      <c r="V32" s="14">
        <v>0</v>
      </c>
      <c r="W32" s="27">
        <v>0</v>
      </c>
      <c r="X32" s="14">
        <v>0</v>
      </c>
      <c r="Y32" s="27">
        <v>0</v>
      </c>
      <c r="Z32" s="56"/>
      <c r="AA32" s="104">
        <f t="shared" si="0"/>
        <v>0</v>
      </c>
      <c r="AB32" s="125"/>
      <c r="AC32" s="14">
        <v>1</v>
      </c>
      <c r="AD32" s="27">
        <v>5.5555555555555552E-2</v>
      </c>
      <c r="AE32" s="14">
        <v>0</v>
      </c>
      <c r="AF32" s="27">
        <v>0</v>
      </c>
      <c r="AG32" s="14">
        <v>0</v>
      </c>
      <c r="AH32" s="27">
        <v>0</v>
      </c>
      <c r="AI32" s="14">
        <v>0</v>
      </c>
      <c r="AJ32" s="27">
        <v>0</v>
      </c>
      <c r="AK32" s="14">
        <v>0</v>
      </c>
      <c r="AL32" s="27">
        <v>0</v>
      </c>
      <c r="AM32" s="56"/>
      <c r="AN32" s="104">
        <f t="shared" si="1"/>
        <v>0</v>
      </c>
      <c r="AO32" s="214" t="str">
        <f t="shared" si="2"/>
        <v>OK</v>
      </c>
      <c r="AP32" t="s">
        <v>15</v>
      </c>
      <c r="AQ32">
        <v>24</v>
      </c>
      <c r="AR32">
        <v>23</v>
      </c>
      <c r="AT32" s="288">
        <v>0</v>
      </c>
      <c r="AV32" s="288">
        <v>0</v>
      </c>
    </row>
    <row r="33" spans="1:48" x14ac:dyDescent="0.25">
      <c r="A33" s="17" t="s">
        <v>16</v>
      </c>
      <c r="B33" s="14">
        <v>66</v>
      </c>
      <c r="C33" s="14">
        <v>69</v>
      </c>
      <c r="D33" s="14">
        <v>73</v>
      </c>
      <c r="E33" s="14">
        <v>75</v>
      </c>
      <c r="F33" s="14">
        <v>74</v>
      </c>
      <c r="G33" s="56">
        <v>76</v>
      </c>
      <c r="H33" s="125"/>
      <c r="I33" s="14">
        <v>64</v>
      </c>
      <c r="J33" s="14">
        <v>64</v>
      </c>
      <c r="K33" s="14">
        <v>70</v>
      </c>
      <c r="L33" s="14">
        <v>71</v>
      </c>
      <c r="M33" s="14">
        <v>70</v>
      </c>
      <c r="N33" s="56">
        <v>74</v>
      </c>
      <c r="O33" s="125"/>
      <c r="P33" s="14">
        <v>4</v>
      </c>
      <c r="Q33" s="27">
        <v>6.25E-2</v>
      </c>
      <c r="R33" s="14">
        <v>4</v>
      </c>
      <c r="S33" s="27">
        <v>6.25E-2</v>
      </c>
      <c r="T33" s="14">
        <v>1</v>
      </c>
      <c r="U33" s="27">
        <v>1.4285714285714285E-2</v>
      </c>
      <c r="V33" s="14">
        <v>5</v>
      </c>
      <c r="W33" s="27">
        <v>7.0422535211267609E-2</v>
      </c>
      <c r="X33" s="14">
        <v>3</v>
      </c>
      <c r="Y33" s="27">
        <v>4.2857142857142858E-2</v>
      </c>
      <c r="Z33" s="56">
        <v>3</v>
      </c>
      <c r="AA33" s="104">
        <f t="shared" si="0"/>
        <v>4.0540540540540543E-2</v>
      </c>
      <c r="AB33" s="125"/>
      <c r="AC33" s="14">
        <v>0</v>
      </c>
      <c r="AD33" s="27">
        <v>0</v>
      </c>
      <c r="AE33" s="14">
        <v>0</v>
      </c>
      <c r="AF33" s="27">
        <v>0</v>
      </c>
      <c r="AG33" s="14">
        <v>2</v>
      </c>
      <c r="AH33" s="27">
        <v>2.8571428571428571E-2</v>
      </c>
      <c r="AI33" s="14">
        <v>2</v>
      </c>
      <c r="AJ33" s="27">
        <v>2.8169014084507043E-2</v>
      </c>
      <c r="AK33" s="14">
        <v>2</v>
      </c>
      <c r="AL33" s="27">
        <v>2.8571428571428571E-2</v>
      </c>
      <c r="AM33" s="56">
        <v>4</v>
      </c>
      <c r="AN33" s="104">
        <f t="shared" si="1"/>
        <v>5.4054054054054057E-2</v>
      </c>
      <c r="AO33" s="214" t="str">
        <f t="shared" si="2"/>
        <v>No</v>
      </c>
      <c r="AP33" t="s">
        <v>379</v>
      </c>
      <c r="AQ33">
        <v>76</v>
      </c>
      <c r="AR33">
        <v>74</v>
      </c>
      <c r="AS33">
        <v>3</v>
      </c>
      <c r="AT33" s="288">
        <v>4.0540540540540543E-2</v>
      </c>
      <c r="AU33">
        <v>4</v>
      </c>
      <c r="AV33" s="288">
        <v>5.4054054054054057E-2</v>
      </c>
    </row>
    <row r="34" spans="1:48" x14ac:dyDescent="0.25">
      <c r="A34" s="17" t="s">
        <v>17</v>
      </c>
      <c r="B34" s="14">
        <v>30</v>
      </c>
      <c r="C34" s="14">
        <v>33</v>
      </c>
      <c r="D34" s="14">
        <v>36</v>
      </c>
      <c r="E34" s="14">
        <v>39</v>
      </c>
      <c r="F34" s="14">
        <v>41</v>
      </c>
      <c r="G34" s="56">
        <v>40</v>
      </c>
      <c r="H34" s="125"/>
      <c r="I34" s="14">
        <v>26</v>
      </c>
      <c r="J34" s="14">
        <v>31</v>
      </c>
      <c r="K34" s="14">
        <v>31</v>
      </c>
      <c r="L34" s="14">
        <v>37</v>
      </c>
      <c r="M34" s="14">
        <v>35</v>
      </c>
      <c r="N34" s="56">
        <v>40</v>
      </c>
      <c r="O34" s="125"/>
      <c r="P34" s="14">
        <v>0</v>
      </c>
      <c r="Q34" s="27">
        <v>0</v>
      </c>
      <c r="R34" s="14">
        <v>0</v>
      </c>
      <c r="S34" s="27">
        <v>0</v>
      </c>
      <c r="T34" s="14">
        <v>1</v>
      </c>
      <c r="U34" s="27">
        <v>3.2258064516129031E-2</v>
      </c>
      <c r="V34" s="14">
        <v>1</v>
      </c>
      <c r="W34" s="27">
        <v>2.7027027027027029E-2</v>
      </c>
      <c r="X34" s="14">
        <v>2</v>
      </c>
      <c r="Y34" s="27">
        <v>5.7142857142857141E-2</v>
      </c>
      <c r="Z34" s="56">
        <v>2</v>
      </c>
      <c r="AA34" s="104">
        <f t="shared" si="0"/>
        <v>0.05</v>
      </c>
      <c r="AB34" s="125"/>
      <c r="AC34" s="14">
        <v>0</v>
      </c>
      <c r="AD34" s="27">
        <v>0</v>
      </c>
      <c r="AE34" s="14">
        <v>0</v>
      </c>
      <c r="AF34" s="27">
        <v>0</v>
      </c>
      <c r="AG34" s="14">
        <v>0</v>
      </c>
      <c r="AH34" s="27">
        <v>0</v>
      </c>
      <c r="AI34" s="14">
        <v>0</v>
      </c>
      <c r="AJ34" s="27">
        <v>0</v>
      </c>
      <c r="AK34" s="14">
        <v>0</v>
      </c>
      <c r="AL34" s="27">
        <v>0</v>
      </c>
      <c r="AM34" s="56"/>
      <c r="AN34" s="104">
        <f t="shared" si="1"/>
        <v>0</v>
      </c>
      <c r="AO34" s="214" t="str">
        <f t="shared" si="2"/>
        <v>OK</v>
      </c>
      <c r="AP34" t="s">
        <v>17</v>
      </c>
      <c r="AQ34">
        <v>40</v>
      </c>
      <c r="AR34">
        <v>40</v>
      </c>
      <c r="AS34">
        <v>2</v>
      </c>
      <c r="AT34" s="288">
        <v>0.05</v>
      </c>
      <c r="AV34" s="288">
        <v>0</v>
      </c>
    </row>
    <row r="35" spans="1:48" x14ac:dyDescent="0.25">
      <c r="A35" s="17" t="s">
        <v>18</v>
      </c>
      <c r="B35" s="14">
        <v>198</v>
      </c>
      <c r="C35" s="14">
        <v>198</v>
      </c>
      <c r="D35" s="14">
        <v>189</v>
      </c>
      <c r="E35" s="14">
        <v>200</v>
      </c>
      <c r="F35" s="14">
        <v>199</v>
      </c>
      <c r="G35" s="56">
        <v>202</v>
      </c>
      <c r="H35" s="125"/>
      <c r="I35" s="14">
        <v>187</v>
      </c>
      <c r="J35" s="14">
        <v>187</v>
      </c>
      <c r="K35" s="14">
        <v>172</v>
      </c>
      <c r="L35" s="14">
        <v>188</v>
      </c>
      <c r="M35" s="14">
        <v>186</v>
      </c>
      <c r="N35" s="56">
        <v>192</v>
      </c>
      <c r="O35" s="125"/>
      <c r="P35" s="14">
        <v>22</v>
      </c>
      <c r="Q35" s="27">
        <v>0.11764705882352941</v>
      </c>
      <c r="R35" s="14">
        <v>16</v>
      </c>
      <c r="S35" s="27">
        <v>8.5561497326203204E-2</v>
      </c>
      <c r="T35" s="14">
        <v>13</v>
      </c>
      <c r="U35" s="27">
        <v>7.5581395348837205E-2</v>
      </c>
      <c r="V35" s="14">
        <v>21</v>
      </c>
      <c r="W35" s="27">
        <v>0.11170212765957446</v>
      </c>
      <c r="X35" s="14">
        <v>20</v>
      </c>
      <c r="Y35" s="27">
        <v>0.10752688172043011</v>
      </c>
      <c r="Z35" s="56">
        <v>8</v>
      </c>
      <c r="AA35" s="104">
        <f t="shared" si="0"/>
        <v>4.1666666666666664E-2</v>
      </c>
      <c r="AB35" s="125"/>
      <c r="AC35" s="14">
        <v>5</v>
      </c>
      <c r="AD35" s="27">
        <v>2.6737967914438502E-2</v>
      </c>
      <c r="AE35" s="14">
        <v>7</v>
      </c>
      <c r="AF35" s="27">
        <v>3.7433155080213901E-2</v>
      </c>
      <c r="AG35" s="14">
        <v>6</v>
      </c>
      <c r="AH35" s="27">
        <v>3.4883720930232558E-2</v>
      </c>
      <c r="AI35" s="14">
        <v>5</v>
      </c>
      <c r="AJ35" s="27">
        <v>2.6595744680851064E-2</v>
      </c>
      <c r="AK35" s="14">
        <v>4</v>
      </c>
      <c r="AL35" s="27">
        <v>2.1505376344086023E-2</v>
      </c>
      <c r="AM35" s="56">
        <v>5</v>
      </c>
      <c r="AN35" s="104">
        <f t="shared" si="1"/>
        <v>2.6041666666666668E-2</v>
      </c>
      <c r="AO35" s="214" t="str">
        <f t="shared" si="2"/>
        <v>OK</v>
      </c>
      <c r="AP35" t="s">
        <v>18</v>
      </c>
      <c r="AQ35">
        <v>202</v>
      </c>
      <c r="AR35">
        <v>192</v>
      </c>
      <c r="AS35">
        <v>8</v>
      </c>
      <c r="AT35" s="288">
        <v>4.1666666666666664E-2</v>
      </c>
      <c r="AU35">
        <v>5</v>
      </c>
      <c r="AV35" s="288">
        <v>2.6041666666666668E-2</v>
      </c>
    </row>
    <row r="36" spans="1:48" x14ac:dyDescent="0.25">
      <c r="A36" s="17" t="s">
        <v>19</v>
      </c>
      <c r="B36" s="14">
        <v>18</v>
      </c>
      <c r="C36" s="14">
        <v>15</v>
      </c>
      <c r="D36" s="14">
        <v>15</v>
      </c>
      <c r="E36" s="14">
        <v>15</v>
      </c>
      <c r="F36" s="14">
        <v>17</v>
      </c>
      <c r="G36" s="56">
        <v>19</v>
      </c>
      <c r="H36" s="125"/>
      <c r="I36" s="14">
        <v>16</v>
      </c>
      <c r="J36" s="14">
        <v>13</v>
      </c>
      <c r="K36" s="14">
        <v>14</v>
      </c>
      <c r="L36" s="14">
        <v>13</v>
      </c>
      <c r="M36" s="14">
        <v>16</v>
      </c>
      <c r="N36" s="56">
        <v>17</v>
      </c>
      <c r="O36" s="125"/>
      <c r="P36" s="14">
        <v>0</v>
      </c>
      <c r="Q36" s="27">
        <v>0</v>
      </c>
      <c r="R36" s="14">
        <v>1</v>
      </c>
      <c r="S36" s="27">
        <v>7.6923076923076927E-2</v>
      </c>
      <c r="T36" s="14">
        <v>2</v>
      </c>
      <c r="U36" s="27">
        <v>0.14285714285714285</v>
      </c>
      <c r="V36" s="14">
        <v>0</v>
      </c>
      <c r="W36" s="27">
        <v>0</v>
      </c>
      <c r="X36" s="14">
        <v>0</v>
      </c>
      <c r="Y36" s="27">
        <v>0</v>
      </c>
      <c r="Z36" s="56"/>
      <c r="AA36" s="104">
        <f t="shared" si="0"/>
        <v>0</v>
      </c>
      <c r="AB36" s="125"/>
      <c r="AC36" s="14">
        <v>0</v>
      </c>
      <c r="AD36" s="27">
        <v>0</v>
      </c>
      <c r="AE36" s="14">
        <v>0</v>
      </c>
      <c r="AF36" s="27">
        <v>0</v>
      </c>
      <c r="AG36" s="14">
        <v>0</v>
      </c>
      <c r="AH36" s="27">
        <v>0</v>
      </c>
      <c r="AI36" s="14">
        <v>0</v>
      </c>
      <c r="AJ36" s="27">
        <v>0</v>
      </c>
      <c r="AK36" s="14">
        <v>0</v>
      </c>
      <c r="AL36" s="27">
        <v>0</v>
      </c>
      <c r="AM36" s="56"/>
      <c r="AN36" s="104">
        <f t="shared" si="1"/>
        <v>0</v>
      </c>
      <c r="AO36" s="214" t="str">
        <f t="shared" si="2"/>
        <v>OK</v>
      </c>
      <c r="AP36" t="s">
        <v>19</v>
      </c>
      <c r="AQ36">
        <v>19</v>
      </c>
      <c r="AR36">
        <v>17</v>
      </c>
      <c r="AT36" s="288">
        <v>0</v>
      </c>
      <c r="AV36" s="288">
        <v>0</v>
      </c>
    </row>
    <row r="37" spans="1:48" x14ac:dyDescent="0.25">
      <c r="A37" s="17" t="s">
        <v>31</v>
      </c>
      <c r="B37" s="14"/>
      <c r="C37" s="14">
        <v>2</v>
      </c>
      <c r="D37" s="14">
        <v>2</v>
      </c>
      <c r="E37" s="14">
        <v>2</v>
      </c>
      <c r="F37" s="14">
        <v>3</v>
      </c>
      <c r="G37" s="56">
        <v>3</v>
      </c>
      <c r="H37" s="125"/>
      <c r="I37" s="14"/>
      <c r="J37" s="14">
        <v>2</v>
      </c>
      <c r="K37" s="14">
        <v>2</v>
      </c>
      <c r="L37" s="14">
        <v>2</v>
      </c>
      <c r="M37" s="14">
        <v>3</v>
      </c>
      <c r="N37" s="56">
        <v>3</v>
      </c>
      <c r="O37" s="125"/>
      <c r="P37" s="14"/>
      <c r="Q37" s="27"/>
      <c r="R37" s="14">
        <v>0</v>
      </c>
      <c r="S37" s="27">
        <v>0</v>
      </c>
      <c r="T37" s="14">
        <v>0</v>
      </c>
      <c r="U37" s="27">
        <v>0</v>
      </c>
      <c r="V37" s="14">
        <v>0</v>
      </c>
      <c r="W37" s="27">
        <v>0</v>
      </c>
      <c r="X37" s="14">
        <v>0</v>
      </c>
      <c r="Y37" s="27">
        <v>0</v>
      </c>
      <c r="Z37" s="56"/>
      <c r="AA37" s="104">
        <f t="shared" si="0"/>
        <v>0</v>
      </c>
      <c r="AB37" s="125"/>
      <c r="AC37" s="14"/>
      <c r="AD37" s="27"/>
      <c r="AE37" s="14">
        <v>0</v>
      </c>
      <c r="AF37" s="27">
        <v>0</v>
      </c>
      <c r="AG37" s="14">
        <v>0</v>
      </c>
      <c r="AH37" s="27">
        <v>0</v>
      </c>
      <c r="AI37" s="14">
        <v>0</v>
      </c>
      <c r="AJ37" s="27">
        <v>0</v>
      </c>
      <c r="AK37" s="14">
        <v>1</v>
      </c>
      <c r="AL37" s="27">
        <v>0.33333333333333331</v>
      </c>
      <c r="AM37" s="56">
        <v>1</v>
      </c>
      <c r="AN37" s="104">
        <f t="shared" si="1"/>
        <v>0.33333333333333331</v>
      </c>
      <c r="AO37" s="214" t="str">
        <f t="shared" si="2"/>
        <v>No</v>
      </c>
      <c r="AP37" t="s">
        <v>380</v>
      </c>
      <c r="AQ37">
        <v>3</v>
      </c>
      <c r="AR37">
        <v>3</v>
      </c>
      <c r="AT37" s="288">
        <v>0</v>
      </c>
      <c r="AU37">
        <v>1</v>
      </c>
      <c r="AV37" s="288">
        <v>0.33333333333333331</v>
      </c>
    </row>
    <row r="38" spans="1:48" x14ac:dyDescent="0.25">
      <c r="A38" s="17" t="s">
        <v>20</v>
      </c>
      <c r="B38" s="14">
        <v>63</v>
      </c>
      <c r="C38" s="14">
        <v>58</v>
      </c>
      <c r="D38" s="14">
        <v>61</v>
      </c>
      <c r="E38" s="14">
        <v>62</v>
      </c>
      <c r="F38" s="14">
        <v>61</v>
      </c>
      <c r="G38" s="56">
        <v>66</v>
      </c>
      <c r="H38" s="125"/>
      <c r="I38" s="14">
        <v>62</v>
      </c>
      <c r="J38" s="14">
        <v>57</v>
      </c>
      <c r="K38" s="14">
        <v>58</v>
      </c>
      <c r="L38" s="14">
        <v>60</v>
      </c>
      <c r="M38" s="14">
        <v>60</v>
      </c>
      <c r="N38" s="56">
        <v>64</v>
      </c>
      <c r="O38" s="125"/>
      <c r="P38" s="14">
        <v>13</v>
      </c>
      <c r="Q38" s="27">
        <v>0.20967741935483872</v>
      </c>
      <c r="R38" s="14">
        <v>6</v>
      </c>
      <c r="S38" s="27">
        <v>0.10526315789473684</v>
      </c>
      <c r="T38" s="14">
        <v>1</v>
      </c>
      <c r="U38" s="27">
        <v>1.7241379310344827E-2</v>
      </c>
      <c r="V38" s="14">
        <v>0</v>
      </c>
      <c r="W38" s="27">
        <v>0</v>
      </c>
      <c r="X38" s="14">
        <v>1</v>
      </c>
      <c r="Y38" s="27">
        <v>1.6666666666666666E-2</v>
      </c>
      <c r="Z38" s="56">
        <v>2</v>
      </c>
      <c r="AA38" s="104">
        <f t="shared" si="0"/>
        <v>3.125E-2</v>
      </c>
      <c r="AB38" s="125"/>
      <c r="AC38" s="14">
        <v>3</v>
      </c>
      <c r="AD38" s="27">
        <v>4.8387096774193547E-2</v>
      </c>
      <c r="AE38" s="14">
        <v>1</v>
      </c>
      <c r="AF38" s="27">
        <v>1.7543859649122806E-2</v>
      </c>
      <c r="AG38" s="14">
        <v>0</v>
      </c>
      <c r="AH38" s="27">
        <v>0</v>
      </c>
      <c r="AI38" s="14">
        <v>1</v>
      </c>
      <c r="AJ38" s="27">
        <v>1.6666666666666666E-2</v>
      </c>
      <c r="AK38" s="14">
        <v>1</v>
      </c>
      <c r="AL38" s="27">
        <v>1.6666666666666666E-2</v>
      </c>
      <c r="AM38" s="56"/>
      <c r="AN38" s="104">
        <f t="shared" si="1"/>
        <v>0</v>
      </c>
      <c r="AO38" s="214" t="str">
        <f t="shared" si="2"/>
        <v>OK</v>
      </c>
      <c r="AP38" t="s">
        <v>20</v>
      </c>
      <c r="AQ38">
        <v>66</v>
      </c>
      <c r="AR38">
        <v>64</v>
      </c>
      <c r="AS38">
        <v>2</v>
      </c>
      <c r="AT38" s="288">
        <v>3.125E-2</v>
      </c>
      <c r="AV38" s="288">
        <v>0</v>
      </c>
    </row>
    <row r="39" spans="1:48" x14ac:dyDescent="0.25">
      <c r="A39" s="17" t="s">
        <v>27</v>
      </c>
      <c r="B39" s="14">
        <v>6</v>
      </c>
      <c r="C39" s="14">
        <v>3</v>
      </c>
      <c r="D39" s="14">
        <v>2</v>
      </c>
      <c r="E39" s="14">
        <v>2</v>
      </c>
      <c r="F39" s="14">
        <v>2</v>
      </c>
      <c r="G39" s="56">
        <v>2</v>
      </c>
      <c r="H39" s="125"/>
      <c r="I39" s="14">
        <v>6</v>
      </c>
      <c r="J39" s="14">
        <v>3</v>
      </c>
      <c r="K39" s="14">
        <v>2</v>
      </c>
      <c r="L39" s="14">
        <v>2</v>
      </c>
      <c r="M39" s="14">
        <v>2</v>
      </c>
      <c r="N39" s="56">
        <v>2</v>
      </c>
      <c r="O39" s="125"/>
      <c r="P39" s="14">
        <v>0</v>
      </c>
      <c r="Q39" s="27">
        <v>0</v>
      </c>
      <c r="R39" s="14">
        <v>0</v>
      </c>
      <c r="S39" s="27">
        <v>0</v>
      </c>
      <c r="T39" s="14">
        <v>0</v>
      </c>
      <c r="U39" s="27">
        <v>0</v>
      </c>
      <c r="V39" s="14">
        <v>0</v>
      </c>
      <c r="W39" s="27">
        <v>0</v>
      </c>
      <c r="X39" s="14">
        <v>0</v>
      </c>
      <c r="Y39" s="27">
        <v>0</v>
      </c>
      <c r="Z39" s="56"/>
      <c r="AA39" s="104">
        <f t="shared" si="0"/>
        <v>0</v>
      </c>
      <c r="AB39" s="125"/>
      <c r="AC39" s="14">
        <v>1</v>
      </c>
      <c r="AD39" s="27">
        <v>0.16666666666666666</v>
      </c>
      <c r="AE39" s="14">
        <v>0</v>
      </c>
      <c r="AF39" s="27">
        <v>0</v>
      </c>
      <c r="AG39" s="14">
        <v>0</v>
      </c>
      <c r="AH39" s="27">
        <v>0</v>
      </c>
      <c r="AI39" s="14">
        <v>0</v>
      </c>
      <c r="AJ39" s="27">
        <v>0</v>
      </c>
      <c r="AK39" s="14">
        <v>0</v>
      </c>
      <c r="AL39" s="27">
        <v>0</v>
      </c>
      <c r="AM39" s="56">
        <v>1</v>
      </c>
      <c r="AN39" s="104">
        <f t="shared" si="1"/>
        <v>0.5</v>
      </c>
      <c r="AO39" s="214" t="str">
        <f t="shared" si="2"/>
        <v>OK</v>
      </c>
      <c r="AP39" t="s">
        <v>27</v>
      </c>
      <c r="AQ39">
        <v>2</v>
      </c>
      <c r="AR39">
        <v>2</v>
      </c>
      <c r="AT39" s="288">
        <v>0</v>
      </c>
      <c r="AU39">
        <v>1</v>
      </c>
      <c r="AV39" s="288">
        <v>0.5</v>
      </c>
    </row>
    <row r="40" spans="1:48" x14ac:dyDescent="0.25">
      <c r="A40" s="17" t="s">
        <v>32</v>
      </c>
      <c r="B40" s="14">
        <v>37</v>
      </c>
      <c r="C40" s="14">
        <v>41</v>
      </c>
      <c r="D40" s="14">
        <v>39</v>
      </c>
      <c r="E40" s="14">
        <v>41</v>
      </c>
      <c r="F40" s="14">
        <v>40</v>
      </c>
      <c r="G40" s="56">
        <v>42</v>
      </c>
      <c r="H40" s="125"/>
      <c r="I40" s="14">
        <v>37</v>
      </c>
      <c r="J40" s="14">
        <v>41</v>
      </c>
      <c r="K40" s="14">
        <v>39</v>
      </c>
      <c r="L40" s="14">
        <v>39</v>
      </c>
      <c r="M40" s="14">
        <v>40</v>
      </c>
      <c r="N40" s="56">
        <v>38</v>
      </c>
      <c r="O40" s="125"/>
      <c r="P40" s="14">
        <v>1</v>
      </c>
      <c r="Q40" s="27">
        <v>2.7027027027027029E-2</v>
      </c>
      <c r="R40" s="14">
        <v>1</v>
      </c>
      <c r="S40" s="27">
        <v>2.4390243902439025E-2</v>
      </c>
      <c r="T40" s="14">
        <v>1</v>
      </c>
      <c r="U40" s="27">
        <v>2.564102564102564E-2</v>
      </c>
      <c r="V40" s="14">
        <v>1</v>
      </c>
      <c r="W40" s="27">
        <v>2.564102564102564E-2</v>
      </c>
      <c r="X40" s="14">
        <v>2</v>
      </c>
      <c r="Y40" s="27">
        <v>0.05</v>
      </c>
      <c r="Z40" s="56">
        <v>2</v>
      </c>
      <c r="AA40" s="104">
        <f t="shared" si="0"/>
        <v>5.2631578947368418E-2</v>
      </c>
      <c r="AB40" s="125"/>
      <c r="AC40" s="14">
        <v>1</v>
      </c>
      <c r="AD40" s="27">
        <v>2.7027027027027029E-2</v>
      </c>
      <c r="AE40" s="14">
        <v>1</v>
      </c>
      <c r="AF40" s="27">
        <v>2.4390243902439025E-2</v>
      </c>
      <c r="AG40" s="14">
        <v>1</v>
      </c>
      <c r="AH40" s="27">
        <v>2.564102564102564E-2</v>
      </c>
      <c r="AI40" s="14">
        <v>0</v>
      </c>
      <c r="AJ40" s="27">
        <v>0</v>
      </c>
      <c r="AK40" s="14">
        <v>0</v>
      </c>
      <c r="AL40" s="27">
        <v>0</v>
      </c>
      <c r="AM40" s="56">
        <v>1</v>
      </c>
      <c r="AN40" s="104">
        <f t="shared" si="1"/>
        <v>2.6315789473684209E-2</v>
      </c>
      <c r="AO40" s="214" t="str">
        <f t="shared" si="2"/>
        <v>OK</v>
      </c>
      <c r="AP40" t="s">
        <v>32</v>
      </c>
      <c r="AQ40">
        <v>42</v>
      </c>
      <c r="AR40">
        <v>38</v>
      </c>
      <c r="AS40">
        <v>2</v>
      </c>
      <c r="AT40" s="288">
        <v>5.2631578947368418E-2</v>
      </c>
      <c r="AU40">
        <v>1</v>
      </c>
      <c r="AV40" s="288">
        <v>2.6315789473684209E-2</v>
      </c>
    </row>
    <row r="41" spans="1:48" x14ac:dyDescent="0.25">
      <c r="A41" s="17" t="s">
        <v>21</v>
      </c>
      <c r="B41" s="14">
        <v>89</v>
      </c>
      <c r="C41" s="14">
        <v>78</v>
      </c>
      <c r="D41" s="14">
        <v>81</v>
      </c>
      <c r="E41" s="14">
        <v>92</v>
      </c>
      <c r="F41" s="14">
        <v>91</v>
      </c>
      <c r="G41" s="56">
        <v>95</v>
      </c>
      <c r="H41" s="125"/>
      <c r="I41" s="14">
        <v>82</v>
      </c>
      <c r="J41" s="14">
        <v>73</v>
      </c>
      <c r="K41" s="14">
        <v>72</v>
      </c>
      <c r="L41" s="14">
        <v>83</v>
      </c>
      <c r="M41" s="14">
        <v>87</v>
      </c>
      <c r="N41" s="56">
        <v>90</v>
      </c>
      <c r="O41" s="125"/>
      <c r="P41" s="14">
        <v>3</v>
      </c>
      <c r="Q41" s="27">
        <v>3.6585365853658534E-2</v>
      </c>
      <c r="R41" s="14">
        <v>3</v>
      </c>
      <c r="S41" s="27">
        <v>4.1095890410958902E-2</v>
      </c>
      <c r="T41" s="14">
        <v>2</v>
      </c>
      <c r="U41" s="27">
        <v>2.7777777777777776E-2</v>
      </c>
      <c r="V41" s="14">
        <v>2</v>
      </c>
      <c r="W41" s="27">
        <v>2.4096385542168676E-2</v>
      </c>
      <c r="X41" s="14">
        <v>3</v>
      </c>
      <c r="Y41" s="27">
        <v>3.4482758620689655E-2</v>
      </c>
      <c r="Z41" s="56">
        <v>2</v>
      </c>
      <c r="AA41" s="104">
        <f t="shared" si="0"/>
        <v>2.2222222222222223E-2</v>
      </c>
      <c r="AB41" s="125"/>
      <c r="AC41" s="14">
        <v>8</v>
      </c>
      <c r="AD41" s="27">
        <v>9.7560975609756101E-2</v>
      </c>
      <c r="AE41" s="14">
        <v>1</v>
      </c>
      <c r="AF41" s="27">
        <v>1.3698630136986301E-2</v>
      </c>
      <c r="AG41" s="14">
        <v>6</v>
      </c>
      <c r="AH41" s="27">
        <v>8.3333333333333329E-2</v>
      </c>
      <c r="AI41" s="14">
        <v>2</v>
      </c>
      <c r="AJ41" s="27">
        <v>2.4096385542168676E-2</v>
      </c>
      <c r="AK41" s="14">
        <v>3</v>
      </c>
      <c r="AL41" s="27">
        <v>3.4482758620689655E-2</v>
      </c>
      <c r="AM41" s="56">
        <v>6</v>
      </c>
      <c r="AN41" s="104">
        <f t="shared" si="1"/>
        <v>6.6666666666666666E-2</v>
      </c>
      <c r="AO41" s="214" t="str">
        <f t="shared" si="2"/>
        <v>OK</v>
      </c>
      <c r="AP41" t="s">
        <v>21</v>
      </c>
      <c r="AQ41">
        <v>95</v>
      </c>
      <c r="AR41">
        <v>90</v>
      </c>
      <c r="AS41">
        <v>2</v>
      </c>
      <c r="AT41" s="288">
        <v>2.2222222222222223E-2</v>
      </c>
      <c r="AU41">
        <v>6</v>
      </c>
      <c r="AV41" s="288">
        <v>6.6666666666666666E-2</v>
      </c>
    </row>
    <row r="42" spans="1:48" x14ac:dyDescent="0.25">
      <c r="A42" s="17" t="s">
        <v>43</v>
      </c>
      <c r="B42" s="14">
        <v>270</v>
      </c>
      <c r="C42" s="14">
        <v>302</v>
      </c>
      <c r="D42" s="14">
        <v>292</v>
      </c>
      <c r="E42" s="14">
        <v>302</v>
      </c>
      <c r="F42" s="14">
        <v>281</v>
      </c>
      <c r="G42" s="56">
        <v>288</v>
      </c>
      <c r="H42" s="125"/>
      <c r="I42" s="14">
        <v>255</v>
      </c>
      <c r="J42" s="14">
        <v>279</v>
      </c>
      <c r="K42" s="14">
        <v>280</v>
      </c>
      <c r="L42" s="14">
        <v>265</v>
      </c>
      <c r="M42" s="14">
        <v>261</v>
      </c>
      <c r="N42" s="56">
        <v>270</v>
      </c>
      <c r="O42" s="125"/>
      <c r="P42" s="14">
        <v>9</v>
      </c>
      <c r="Q42" s="27">
        <v>3.5294117647058823E-2</v>
      </c>
      <c r="R42" s="14">
        <v>13</v>
      </c>
      <c r="S42" s="27">
        <v>4.6594982078853049E-2</v>
      </c>
      <c r="T42" s="14">
        <v>17</v>
      </c>
      <c r="U42" s="27">
        <v>6.0714285714285714E-2</v>
      </c>
      <c r="V42" s="14">
        <v>13</v>
      </c>
      <c r="W42" s="27">
        <v>4.9056603773584909E-2</v>
      </c>
      <c r="X42" s="14">
        <v>3</v>
      </c>
      <c r="Y42" s="27">
        <v>1.1494252873563218E-2</v>
      </c>
      <c r="Z42" s="56">
        <v>4</v>
      </c>
      <c r="AA42" s="104">
        <f t="shared" si="0"/>
        <v>1.4814814814814815E-2</v>
      </c>
      <c r="AB42" s="125"/>
      <c r="AC42" s="14">
        <v>7</v>
      </c>
      <c r="AD42" s="27">
        <v>2.7450980392156862E-2</v>
      </c>
      <c r="AE42" s="14">
        <v>8</v>
      </c>
      <c r="AF42" s="27">
        <v>2.8673835125448029E-2</v>
      </c>
      <c r="AG42" s="14">
        <v>9</v>
      </c>
      <c r="AH42" s="27">
        <v>3.214285714285714E-2</v>
      </c>
      <c r="AI42" s="14">
        <v>8</v>
      </c>
      <c r="AJ42" s="27">
        <v>3.0188679245283019E-2</v>
      </c>
      <c r="AK42" s="14">
        <v>1</v>
      </c>
      <c r="AL42" s="27">
        <v>3.8314176245210726E-3</v>
      </c>
      <c r="AM42" s="56">
        <v>6</v>
      </c>
      <c r="AN42" s="104">
        <f t="shared" si="1"/>
        <v>2.2222222222222223E-2</v>
      </c>
      <c r="AO42" s="214" t="str">
        <f t="shared" si="2"/>
        <v>OK</v>
      </c>
      <c r="AP42" t="s">
        <v>43</v>
      </c>
      <c r="AQ42">
        <v>288</v>
      </c>
      <c r="AR42">
        <v>270</v>
      </c>
      <c r="AS42">
        <v>4</v>
      </c>
      <c r="AT42" s="288">
        <v>1.4814814814814815E-2</v>
      </c>
      <c r="AU42">
        <v>6</v>
      </c>
      <c r="AV42" s="288">
        <v>2.2222222222222223E-2</v>
      </c>
    </row>
    <row r="43" spans="1:48" x14ac:dyDescent="0.25">
      <c r="A43" s="17" t="s">
        <v>44</v>
      </c>
      <c r="B43" s="14">
        <v>255</v>
      </c>
      <c r="C43" s="14">
        <v>192</v>
      </c>
      <c r="D43" s="14">
        <v>199</v>
      </c>
      <c r="E43" s="14">
        <v>201</v>
      </c>
      <c r="F43" s="14">
        <v>180</v>
      </c>
      <c r="G43" s="56">
        <v>187</v>
      </c>
      <c r="H43" s="125"/>
      <c r="I43" s="14">
        <v>244</v>
      </c>
      <c r="J43" s="14">
        <v>183</v>
      </c>
      <c r="K43" s="14">
        <v>180</v>
      </c>
      <c r="L43" s="14">
        <v>179</v>
      </c>
      <c r="M43" s="14">
        <v>171</v>
      </c>
      <c r="N43" s="56">
        <v>168</v>
      </c>
      <c r="O43" s="125"/>
      <c r="P43" s="14">
        <v>14</v>
      </c>
      <c r="Q43" s="27">
        <v>5.737704918032787E-2</v>
      </c>
      <c r="R43" s="14">
        <v>11</v>
      </c>
      <c r="S43" s="27">
        <v>6.0109289617486336E-2</v>
      </c>
      <c r="T43" s="14">
        <v>7</v>
      </c>
      <c r="U43" s="27">
        <v>3.888888888888889E-2</v>
      </c>
      <c r="V43" s="14">
        <v>10</v>
      </c>
      <c r="W43" s="27">
        <v>5.5865921787709494E-2</v>
      </c>
      <c r="X43" s="14">
        <v>6</v>
      </c>
      <c r="Y43" s="27">
        <v>3.5087719298245612E-2</v>
      </c>
      <c r="Z43" s="56">
        <v>6</v>
      </c>
      <c r="AA43" s="104">
        <f t="shared" si="0"/>
        <v>3.5714285714285712E-2</v>
      </c>
      <c r="AB43" s="125"/>
      <c r="AC43" s="14">
        <v>7</v>
      </c>
      <c r="AD43" s="27">
        <v>2.8688524590163935E-2</v>
      </c>
      <c r="AE43" s="14">
        <v>2</v>
      </c>
      <c r="AF43" s="27">
        <v>1.092896174863388E-2</v>
      </c>
      <c r="AG43" s="14">
        <v>4</v>
      </c>
      <c r="AH43" s="27">
        <v>2.2222222222222223E-2</v>
      </c>
      <c r="AI43" s="14">
        <v>1</v>
      </c>
      <c r="AJ43" s="27">
        <v>5.5865921787709499E-3</v>
      </c>
      <c r="AK43" s="14">
        <v>1</v>
      </c>
      <c r="AL43" s="27">
        <v>5.8479532163742687E-3</v>
      </c>
      <c r="AM43" s="56">
        <v>4</v>
      </c>
      <c r="AN43" s="104">
        <f t="shared" si="1"/>
        <v>2.3809523809523808E-2</v>
      </c>
      <c r="AO43" s="214" t="str">
        <f t="shared" si="2"/>
        <v>OK</v>
      </c>
      <c r="AP43" t="s">
        <v>44</v>
      </c>
      <c r="AQ43">
        <v>187</v>
      </c>
      <c r="AR43">
        <v>168</v>
      </c>
      <c r="AS43">
        <v>6</v>
      </c>
      <c r="AT43" s="288">
        <v>3.5714285714285712E-2</v>
      </c>
      <c r="AU43">
        <v>4</v>
      </c>
      <c r="AV43" s="288">
        <v>2.3809523809523808E-2</v>
      </c>
    </row>
    <row r="44" spans="1:48" x14ac:dyDescent="0.25">
      <c r="A44" s="17" t="s">
        <v>35</v>
      </c>
      <c r="B44" s="14">
        <v>13</v>
      </c>
      <c r="C44" s="14">
        <v>13</v>
      </c>
      <c r="D44" s="14">
        <v>13</v>
      </c>
      <c r="E44" s="14">
        <v>12</v>
      </c>
      <c r="F44" s="14">
        <v>11</v>
      </c>
      <c r="G44" s="56">
        <v>12</v>
      </c>
      <c r="H44" s="125"/>
      <c r="I44" s="14">
        <v>13</v>
      </c>
      <c r="J44" s="14">
        <v>13</v>
      </c>
      <c r="K44" s="14">
        <v>13</v>
      </c>
      <c r="L44" s="14">
        <v>9</v>
      </c>
      <c r="M44" s="14">
        <v>10</v>
      </c>
      <c r="N44" s="56">
        <v>11</v>
      </c>
      <c r="O44" s="125"/>
      <c r="P44" s="14">
        <v>0</v>
      </c>
      <c r="Q44" s="27">
        <v>0</v>
      </c>
      <c r="R44" s="14">
        <v>0</v>
      </c>
      <c r="S44" s="27">
        <v>0</v>
      </c>
      <c r="T44" s="14">
        <v>0</v>
      </c>
      <c r="U44" s="27">
        <v>0</v>
      </c>
      <c r="V44" s="14">
        <v>0</v>
      </c>
      <c r="W44" s="27">
        <v>0</v>
      </c>
      <c r="X44" s="14">
        <v>0</v>
      </c>
      <c r="Y44" s="27">
        <v>0</v>
      </c>
      <c r="Z44" s="56"/>
      <c r="AA44" s="104">
        <f t="shared" si="0"/>
        <v>0</v>
      </c>
      <c r="AB44" s="125"/>
      <c r="AC44" s="14">
        <v>0</v>
      </c>
      <c r="AD44" s="27">
        <v>0</v>
      </c>
      <c r="AE44" s="14">
        <v>0</v>
      </c>
      <c r="AF44" s="27">
        <v>0</v>
      </c>
      <c r="AG44" s="14">
        <v>0</v>
      </c>
      <c r="AH44" s="27">
        <v>0</v>
      </c>
      <c r="AI44" s="14">
        <v>1</v>
      </c>
      <c r="AJ44" s="27">
        <v>0.1111111111111111</v>
      </c>
      <c r="AK44" s="14">
        <v>1</v>
      </c>
      <c r="AL44" s="27">
        <v>0.1</v>
      </c>
      <c r="AM44" s="56"/>
      <c r="AN44" s="104">
        <f t="shared" si="1"/>
        <v>0</v>
      </c>
      <c r="AO44" s="214" t="str">
        <f t="shared" si="2"/>
        <v>OK</v>
      </c>
      <c r="AP44" t="s">
        <v>35</v>
      </c>
      <c r="AQ44">
        <v>12</v>
      </c>
      <c r="AR44">
        <v>11</v>
      </c>
      <c r="AT44" s="288">
        <v>0</v>
      </c>
      <c r="AV44" s="288">
        <v>0</v>
      </c>
    </row>
    <row r="45" spans="1:48" x14ac:dyDescent="0.25">
      <c r="A45" s="17" t="s">
        <v>36</v>
      </c>
      <c r="B45" s="14">
        <v>2</v>
      </c>
      <c r="C45" s="14">
        <v>3</v>
      </c>
      <c r="D45" s="14">
        <v>4</v>
      </c>
      <c r="E45" s="14">
        <v>5</v>
      </c>
      <c r="F45" s="14">
        <v>4</v>
      </c>
      <c r="G45" s="56">
        <v>4</v>
      </c>
      <c r="H45" s="125"/>
      <c r="I45" s="14">
        <v>2</v>
      </c>
      <c r="J45" s="14">
        <v>2</v>
      </c>
      <c r="K45" s="14">
        <v>4</v>
      </c>
      <c r="L45" s="14">
        <v>4</v>
      </c>
      <c r="M45" s="14">
        <v>4</v>
      </c>
      <c r="N45" s="56">
        <v>4</v>
      </c>
      <c r="O45" s="125"/>
      <c r="P45" s="14">
        <v>0</v>
      </c>
      <c r="Q45" s="27">
        <v>0</v>
      </c>
      <c r="R45" s="14">
        <v>0</v>
      </c>
      <c r="S45" s="27">
        <v>0</v>
      </c>
      <c r="T45" s="14">
        <v>0</v>
      </c>
      <c r="U45" s="27">
        <v>0</v>
      </c>
      <c r="V45" s="14">
        <v>1</v>
      </c>
      <c r="W45" s="27">
        <v>0.25</v>
      </c>
      <c r="X45" s="14">
        <v>0</v>
      </c>
      <c r="Y45" s="27">
        <v>0</v>
      </c>
      <c r="Z45" s="56"/>
      <c r="AA45" s="104">
        <f t="shared" si="0"/>
        <v>0</v>
      </c>
      <c r="AB45" s="125"/>
      <c r="AC45" s="14">
        <v>0</v>
      </c>
      <c r="AD45" s="27">
        <v>0</v>
      </c>
      <c r="AE45" s="14">
        <v>0</v>
      </c>
      <c r="AF45" s="27">
        <v>0</v>
      </c>
      <c r="AG45" s="14">
        <v>0</v>
      </c>
      <c r="AH45" s="27">
        <v>0</v>
      </c>
      <c r="AI45" s="14">
        <v>0</v>
      </c>
      <c r="AJ45" s="27">
        <v>0</v>
      </c>
      <c r="AK45" s="14">
        <v>0</v>
      </c>
      <c r="AL45" s="27">
        <v>0</v>
      </c>
      <c r="AM45" s="56"/>
      <c r="AN45" s="104">
        <f t="shared" si="1"/>
        <v>0</v>
      </c>
      <c r="AO45" s="214" t="str">
        <f t="shared" si="2"/>
        <v>OK</v>
      </c>
      <c r="AP45" t="s">
        <v>36</v>
      </c>
      <c r="AQ45">
        <v>4</v>
      </c>
      <c r="AR45">
        <v>4</v>
      </c>
      <c r="AT45" s="288">
        <v>0</v>
      </c>
      <c r="AV45" s="288">
        <v>0</v>
      </c>
    </row>
    <row r="46" spans="1:48" x14ac:dyDescent="0.25">
      <c r="A46" s="17" t="s">
        <v>37</v>
      </c>
      <c r="B46" s="14">
        <v>108</v>
      </c>
      <c r="C46" s="14">
        <v>111</v>
      </c>
      <c r="D46" s="14">
        <v>109</v>
      </c>
      <c r="E46" s="14">
        <v>106</v>
      </c>
      <c r="F46" s="14">
        <v>110</v>
      </c>
      <c r="G46" s="56">
        <v>110</v>
      </c>
      <c r="H46" s="125"/>
      <c r="I46" s="14">
        <v>100</v>
      </c>
      <c r="J46" s="14">
        <v>100</v>
      </c>
      <c r="K46" s="14">
        <v>104</v>
      </c>
      <c r="L46" s="14">
        <v>90</v>
      </c>
      <c r="M46" s="14">
        <v>102</v>
      </c>
      <c r="N46" s="56">
        <v>104</v>
      </c>
      <c r="O46" s="125"/>
      <c r="P46" s="14">
        <v>1</v>
      </c>
      <c r="Q46" s="27">
        <v>0.01</v>
      </c>
      <c r="R46" s="14">
        <v>2</v>
      </c>
      <c r="S46" s="27">
        <v>0.02</v>
      </c>
      <c r="T46" s="14">
        <v>2</v>
      </c>
      <c r="U46" s="27">
        <v>1.9230769230769232E-2</v>
      </c>
      <c r="V46" s="14">
        <v>2</v>
      </c>
      <c r="W46" s="27">
        <v>2.2222222222222223E-2</v>
      </c>
      <c r="X46" s="14">
        <v>1</v>
      </c>
      <c r="Y46" s="27">
        <v>9.8039215686274508E-3</v>
      </c>
      <c r="Z46" s="56">
        <v>2</v>
      </c>
      <c r="AA46" s="104">
        <f t="shared" si="0"/>
        <v>1.9230769230769232E-2</v>
      </c>
      <c r="AB46" s="125"/>
      <c r="AC46" s="14">
        <v>2</v>
      </c>
      <c r="AD46" s="27">
        <v>0.02</v>
      </c>
      <c r="AE46" s="14">
        <v>1</v>
      </c>
      <c r="AF46" s="27">
        <v>0.01</v>
      </c>
      <c r="AG46" s="14">
        <v>0</v>
      </c>
      <c r="AH46" s="27">
        <v>0</v>
      </c>
      <c r="AI46" s="14">
        <v>0</v>
      </c>
      <c r="AJ46" s="27">
        <v>0</v>
      </c>
      <c r="AK46" s="14">
        <v>1</v>
      </c>
      <c r="AL46" s="27">
        <v>9.8039215686274508E-3</v>
      </c>
      <c r="AM46" s="56">
        <v>1</v>
      </c>
      <c r="AN46" s="104">
        <f t="shared" si="1"/>
        <v>9.6153846153846159E-3</v>
      </c>
      <c r="AO46" s="214" t="str">
        <f t="shared" si="2"/>
        <v>OK</v>
      </c>
      <c r="AP46" t="s">
        <v>37</v>
      </c>
      <c r="AQ46">
        <v>110</v>
      </c>
      <c r="AR46">
        <v>104</v>
      </c>
      <c r="AS46">
        <v>2</v>
      </c>
      <c r="AT46" s="288">
        <v>1.9230769230769232E-2</v>
      </c>
      <c r="AU46">
        <v>1</v>
      </c>
      <c r="AV46" s="288">
        <v>9.6153846153846159E-3</v>
      </c>
    </row>
    <row r="47" spans="1:48" x14ac:dyDescent="0.25">
      <c r="A47" s="17" t="s">
        <v>38</v>
      </c>
      <c r="B47" s="14">
        <v>33</v>
      </c>
      <c r="C47" s="14">
        <v>31</v>
      </c>
      <c r="D47" s="14">
        <v>28</v>
      </c>
      <c r="E47" s="14">
        <v>29</v>
      </c>
      <c r="F47" s="14">
        <v>31</v>
      </c>
      <c r="G47" s="56">
        <v>34</v>
      </c>
      <c r="H47" s="125"/>
      <c r="I47" s="14">
        <v>32</v>
      </c>
      <c r="J47" s="14">
        <v>29</v>
      </c>
      <c r="K47" s="14">
        <v>27</v>
      </c>
      <c r="L47" s="14">
        <v>28</v>
      </c>
      <c r="M47" s="14">
        <v>29</v>
      </c>
      <c r="N47" s="56">
        <v>31</v>
      </c>
      <c r="O47" s="125"/>
      <c r="P47" s="14">
        <v>4</v>
      </c>
      <c r="Q47" s="27">
        <v>0.125</v>
      </c>
      <c r="R47" s="14">
        <v>1</v>
      </c>
      <c r="S47" s="27">
        <v>3.4482758620689655E-2</v>
      </c>
      <c r="T47" s="14">
        <v>2</v>
      </c>
      <c r="U47" s="27">
        <v>7.407407407407407E-2</v>
      </c>
      <c r="V47" s="14">
        <v>1</v>
      </c>
      <c r="W47" s="27">
        <v>3.5714285714285712E-2</v>
      </c>
      <c r="X47" s="14">
        <v>1</v>
      </c>
      <c r="Y47" s="27">
        <v>3.4482758620689655E-2</v>
      </c>
      <c r="Z47" s="56">
        <v>1</v>
      </c>
      <c r="AA47" s="104">
        <f t="shared" si="0"/>
        <v>3.2258064516129031E-2</v>
      </c>
      <c r="AB47" s="125"/>
      <c r="AC47" s="14">
        <v>2</v>
      </c>
      <c r="AD47" s="27">
        <v>6.25E-2</v>
      </c>
      <c r="AE47" s="14">
        <v>0</v>
      </c>
      <c r="AF47" s="27">
        <v>0</v>
      </c>
      <c r="AG47" s="14">
        <v>1</v>
      </c>
      <c r="AH47" s="27">
        <v>3.7037037037037035E-2</v>
      </c>
      <c r="AI47" s="14">
        <v>1</v>
      </c>
      <c r="AJ47" s="27">
        <v>3.5714285714285712E-2</v>
      </c>
      <c r="AK47" s="14">
        <v>1</v>
      </c>
      <c r="AL47" s="27">
        <v>3.4482758620689655E-2</v>
      </c>
      <c r="AM47" s="56"/>
      <c r="AN47" s="104">
        <f t="shared" si="1"/>
        <v>0</v>
      </c>
      <c r="AO47" s="214" t="str">
        <f t="shared" si="2"/>
        <v>OK</v>
      </c>
      <c r="AP47" t="s">
        <v>38</v>
      </c>
      <c r="AQ47">
        <v>34</v>
      </c>
      <c r="AR47">
        <v>31</v>
      </c>
      <c r="AS47">
        <v>1</v>
      </c>
      <c r="AT47" s="288">
        <v>3.2258064516129031E-2</v>
      </c>
      <c r="AV47" s="288">
        <v>0</v>
      </c>
    </row>
    <row r="48" spans="1:48" x14ac:dyDescent="0.25">
      <c r="A48" s="17" t="s">
        <v>39</v>
      </c>
      <c r="B48" s="14">
        <v>12</v>
      </c>
      <c r="C48" s="14">
        <v>12</v>
      </c>
      <c r="D48" s="14">
        <v>12</v>
      </c>
      <c r="E48" s="14">
        <v>13</v>
      </c>
      <c r="F48" s="14">
        <v>10</v>
      </c>
      <c r="G48" s="56">
        <v>12</v>
      </c>
      <c r="H48" s="125"/>
      <c r="I48" s="14">
        <v>11</v>
      </c>
      <c r="J48" s="14">
        <v>12</v>
      </c>
      <c r="K48" s="14">
        <v>11</v>
      </c>
      <c r="L48" s="14">
        <v>13</v>
      </c>
      <c r="M48" s="14">
        <v>9</v>
      </c>
      <c r="N48" s="56">
        <v>11</v>
      </c>
      <c r="O48" s="125"/>
      <c r="P48" s="14">
        <v>2</v>
      </c>
      <c r="Q48" s="27">
        <v>0.18181818181818182</v>
      </c>
      <c r="R48" s="14">
        <v>1</v>
      </c>
      <c r="S48" s="27">
        <v>8.3333333333333329E-2</v>
      </c>
      <c r="T48" s="14">
        <v>1</v>
      </c>
      <c r="U48" s="27">
        <v>9.0909090909090912E-2</v>
      </c>
      <c r="V48" s="14">
        <v>3</v>
      </c>
      <c r="W48" s="27">
        <v>0.23076923076923078</v>
      </c>
      <c r="X48" s="14">
        <v>1</v>
      </c>
      <c r="Y48" s="27">
        <v>0.1111111111111111</v>
      </c>
      <c r="Z48" s="56">
        <v>1</v>
      </c>
      <c r="AA48" s="104">
        <f t="shared" si="0"/>
        <v>9.0909090909090912E-2</v>
      </c>
      <c r="AB48" s="125"/>
      <c r="AC48" s="14">
        <v>0</v>
      </c>
      <c r="AD48" s="27">
        <v>0</v>
      </c>
      <c r="AE48" s="14">
        <v>0</v>
      </c>
      <c r="AF48" s="27">
        <v>0</v>
      </c>
      <c r="AG48" s="14">
        <v>0</v>
      </c>
      <c r="AH48" s="27">
        <v>0</v>
      </c>
      <c r="AI48" s="14">
        <v>0</v>
      </c>
      <c r="AJ48" s="27">
        <v>0</v>
      </c>
      <c r="AK48" s="14">
        <v>0</v>
      </c>
      <c r="AL48" s="27">
        <v>0</v>
      </c>
      <c r="AM48" s="56"/>
      <c r="AN48" s="104">
        <f t="shared" si="1"/>
        <v>0</v>
      </c>
      <c r="AO48" s="214" t="str">
        <f t="shared" si="2"/>
        <v>OK</v>
      </c>
      <c r="AP48" t="s">
        <v>39</v>
      </c>
      <c r="AQ48">
        <v>12</v>
      </c>
      <c r="AR48">
        <v>11</v>
      </c>
      <c r="AS48">
        <v>1</v>
      </c>
      <c r="AT48" s="288">
        <v>9.0909090909090912E-2</v>
      </c>
      <c r="AV48" s="288">
        <v>0</v>
      </c>
    </row>
    <row r="49" spans="1:48" x14ac:dyDescent="0.25">
      <c r="A49" s="17" t="s">
        <v>40</v>
      </c>
      <c r="B49" s="14">
        <v>26</v>
      </c>
      <c r="C49" s="14">
        <v>24</v>
      </c>
      <c r="D49" s="14">
        <v>24</v>
      </c>
      <c r="E49" s="14">
        <v>25</v>
      </c>
      <c r="F49" s="14">
        <v>23</v>
      </c>
      <c r="G49" s="56">
        <v>24</v>
      </c>
      <c r="H49" s="125"/>
      <c r="I49" s="14">
        <v>24</v>
      </c>
      <c r="J49" s="14">
        <v>21</v>
      </c>
      <c r="K49" s="14">
        <v>21</v>
      </c>
      <c r="L49" s="14">
        <v>22</v>
      </c>
      <c r="M49" s="14">
        <v>23</v>
      </c>
      <c r="N49" s="56">
        <v>23</v>
      </c>
      <c r="O49" s="125"/>
      <c r="P49" s="14">
        <v>0</v>
      </c>
      <c r="Q49" s="27">
        <v>0</v>
      </c>
      <c r="R49" s="14">
        <v>1</v>
      </c>
      <c r="S49" s="27">
        <v>4.7619047619047616E-2</v>
      </c>
      <c r="T49" s="14">
        <v>0</v>
      </c>
      <c r="U49" s="27">
        <v>0</v>
      </c>
      <c r="V49" s="14">
        <v>0</v>
      </c>
      <c r="W49" s="27">
        <v>0</v>
      </c>
      <c r="X49" s="14">
        <v>0</v>
      </c>
      <c r="Y49" s="27">
        <v>0</v>
      </c>
      <c r="Z49" s="56">
        <v>1</v>
      </c>
      <c r="AA49" s="104">
        <f t="shared" si="0"/>
        <v>4.3478260869565216E-2</v>
      </c>
      <c r="AB49" s="125"/>
      <c r="AC49" s="14">
        <v>1</v>
      </c>
      <c r="AD49" s="27">
        <v>4.1666666666666664E-2</v>
      </c>
      <c r="AE49" s="14">
        <v>0</v>
      </c>
      <c r="AF49" s="27">
        <v>0</v>
      </c>
      <c r="AG49" s="14">
        <v>0</v>
      </c>
      <c r="AH49" s="27">
        <v>0</v>
      </c>
      <c r="AI49" s="14">
        <v>0</v>
      </c>
      <c r="AJ49" s="27">
        <v>0</v>
      </c>
      <c r="AK49" s="14">
        <v>1</v>
      </c>
      <c r="AL49" s="27">
        <v>4.3478260869565216E-2</v>
      </c>
      <c r="AM49" s="56"/>
      <c r="AN49" s="104">
        <f t="shared" si="1"/>
        <v>0</v>
      </c>
      <c r="AO49" s="214" t="str">
        <f t="shared" si="2"/>
        <v>OK</v>
      </c>
      <c r="AP49" t="s">
        <v>40</v>
      </c>
      <c r="AQ49">
        <v>24</v>
      </c>
      <c r="AR49">
        <v>23</v>
      </c>
      <c r="AS49">
        <v>1</v>
      </c>
      <c r="AT49" s="288">
        <v>4.3478260869565216E-2</v>
      </c>
      <c r="AV49" s="288">
        <v>0</v>
      </c>
    </row>
    <row r="50" spans="1:48" x14ac:dyDescent="0.25">
      <c r="A50" s="17" t="s">
        <v>41</v>
      </c>
      <c r="B50" s="14">
        <v>206</v>
      </c>
      <c r="C50" s="14">
        <v>225</v>
      </c>
      <c r="D50" s="14">
        <v>227</v>
      </c>
      <c r="E50" s="14">
        <v>231</v>
      </c>
      <c r="F50" s="14">
        <v>234</v>
      </c>
      <c r="G50" s="56">
        <v>232</v>
      </c>
      <c r="H50" s="125"/>
      <c r="I50" s="14">
        <v>187</v>
      </c>
      <c r="J50" s="14">
        <v>197</v>
      </c>
      <c r="K50" s="14">
        <v>206</v>
      </c>
      <c r="L50" s="14">
        <v>212</v>
      </c>
      <c r="M50" s="14">
        <v>213</v>
      </c>
      <c r="N50" s="56">
        <v>215</v>
      </c>
      <c r="O50" s="125"/>
      <c r="P50" s="14">
        <v>11</v>
      </c>
      <c r="Q50" s="27">
        <v>5.8823529411764705E-2</v>
      </c>
      <c r="R50" s="14">
        <v>10</v>
      </c>
      <c r="S50" s="27">
        <v>5.0761421319796954E-2</v>
      </c>
      <c r="T50" s="14">
        <v>5</v>
      </c>
      <c r="U50" s="27">
        <v>2.4271844660194174E-2</v>
      </c>
      <c r="V50" s="14">
        <v>8</v>
      </c>
      <c r="W50" s="27">
        <v>3.7735849056603772E-2</v>
      </c>
      <c r="X50" s="14">
        <v>11</v>
      </c>
      <c r="Y50" s="27">
        <v>5.1643192488262914E-2</v>
      </c>
      <c r="Z50" s="56">
        <v>3</v>
      </c>
      <c r="AA50" s="104">
        <f t="shared" si="0"/>
        <v>1.3953488372093023E-2</v>
      </c>
      <c r="AB50" s="125"/>
      <c r="AC50" s="14">
        <v>4</v>
      </c>
      <c r="AD50" s="27">
        <v>2.1390374331550801E-2</v>
      </c>
      <c r="AE50" s="14">
        <v>5</v>
      </c>
      <c r="AF50" s="27">
        <v>2.5380710659898477E-2</v>
      </c>
      <c r="AG50" s="14">
        <v>6</v>
      </c>
      <c r="AH50" s="27">
        <v>2.9126213592233011E-2</v>
      </c>
      <c r="AI50" s="14">
        <v>1</v>
      </c>
      <c r="AJ50" s="27">
        <v>4.7169811320754715E-3</v>
      </c>
      <c r="AK50" s="14">
        <v>1</v>
      </c>
      <c r="AL50" s="27">
        <v>4.6948356807511738E-3</v>
      </c>
      <c r="AM50" s="56">
        <v>2</v>
      </c>
      <c r="AN50" s="104">
        <f t="shared" si="1"/>
        <v>9.3023255813953487E-3</v>
      </c>
      <c r="AO50" s="214" t="str">
        <f t="shared" si="2"/>
        <v>OK</v>
      </c>
      <c r="AP50" t="s">
        <v>41</v>
      </c>
      <c r="AQ50">
        <v>232</v>
      </c>
      <c r="AR50">
        <v>215</v>
      </c>
      <c r="AS50">
        <v>3</v>
      </c>
      <c r="AT50" s="288">
        <v>1.3953488372093023E-2</v>
      </c>
      <c r="AU50">
        <v>2</v>
      </c>
      <c r="AV50" s="288">
        <v>9.3023255813953487E-3</v>
      </c>
    </row>
    <row r="51" spans="1:48" x14ac:dyDescent="0.25">
      <c r="A51" s="17" t="s">
        <v>42</v>
      </c>
      <c r="B51" s="14">
        <v>152</v>
      </c>
      <c r="C51" s="14">
        <v>158</v>
      </c>
      <c r="D51" s="14">
        <v>151</v>
      </c>
      <c r="E51" s="14">
        <v>143</v>
      </c>
      <c r="F51" s="14">
        <v>137</v>
      </c>
      <c r="G51" s="56">
        <v>98</v>
      </c>
      <c r="H51" s="125"/>
      <c r="I51" s="14">
        <v>138</v>
      </c>
      <c r="J51" s="14">
        <v>146</v>
      </c>
      <c r="K51" s="14">
        <v>141</v>
      </c>
      <c r="L51" s="14">
        <v>125</v>
      </c>
      <c r="M51" s="14">
        <v>125</v>
      </c>
      <c r="N51" s="56">
        <v>92</v>
      </c>
      <c r="O51" s="125"/>
      <c r="P51" s="14">
        <v>3</v>
      </c>
      <c r="Q51" s="27">
        <v>2.1739130434782608E-2</v>
      </c>
      <c r="R51" s="14">
        <v>3</v>
      </c>
      <c r="S51" s="27">
        <v>2.0547945205479451E-2</v>
      </c>
      <c r="T51" s="14">
        <v>2</v>
      </c>
      <c r="U51" s="27">
        <v>1.4184397163120567E-2</v>
      </c>
      <c r="V51" s="14">
        <v>2</v>
      </c>
      <c r="W51" s="27">
        <v>1.6E-2</v>
      </c>
      <c r="X51" s="14">
        <v>0</v>
      </c>
      <c r="Y51" s="27">
        <v>0</v>
      </c>
      <c r="Z51" s="56"/>
      <c r="AA51" s="104">
        <f t="shared" si="0"/>
        <v>0</v>
      </c>
      <c r="AB51" s="125"/>
      <c r="AC51" s="14">
        <v>3</v>
      </c>
      <c r="AD51" s="27">
        <v>2.1739130434782608E-2</v>
      </c>
      <c r="AE51" s="14">
        <v>3</v>
      </c>
      <c r="AF51" s="27">
        <v>2.0547945205479451E-2</v>
      </c>
      <c r="AG51" s="14">
        <v>5</v>
      </c>
      <c r="AH51" s="27">
        <v>3.5460992907801421E-2</v>
      </c>
      <c r="AI51" s="14">
        <v>2</v>
      </c>
      <c r="AJ51" s="27">
        <v>1.6E-2</v>
      </c>
      <c r="AK51" s="14">
        <v>7</v>
      </c>
      <c r="AL51" s="27">
        <v>5.6000000000000001E-2</v>
      </c>
      <c r="AM51" s="56">
        <v>5</v>
      </c>
      <c r="AN51" s="104">
        <f t="shared" si="1"/>
        <v>5.434782608695652E-2</v>
      </c>
      <c r="AO51" s="214" t="str">
        <f t="shared" si="2"/>
        <v>OK</v>
      </c>
      <c r="AP51" t="s">
        <v>42</v>
      </c>
      <c r="AQ51">
        <v>98</v>
      </c>
      <c r="AR51">
        <v>92</v>
      </c>
      <c r="AT51" s="288">
        <v>0</v>
      </c>
      <c r="AU51">
        <v>5</v>
      </c>
      <c r="AV51" s="288">
        <v>5.434782608695652E-2</v>
      </c>
    </row>
    <row r="52" spans="1:48" x14ac:dyDescent="0.25">
      <c r="A52" s="17"/>
      <c r="B52" s="17"/>
      <c r="C52" s="17"/>
      <c r="D52" s="17"/>
      <c r="E52" s="78"/>
      <c r="F52" s="78"/>
      <c r="G52" s="17"/>
      <c r="H52" s="1"/>
      <c r="I52" s="17"/>
      <c r="J52" s="17"/>
      <c r="K52" s="17"/>
      <c r="L52" s="17"/>
      <c r="M52" s="17"/>
      <c r="N52" s="17"/>
      <c r="O52" s="1"/>
      <c r="P52" s="17"/>
      <c r="Q52" s="35"/>
      <c r="R52" s="17"/>
      <c r="S52" s="35"/>
      <c r="T52" s="17"/>
      <c r="U52" s="35"/>
      <c r="V52" s="17"/>
      <c r="W52" s="35"/>
      <c r="X52" s="17"/>
      <c r="Y52" s="35"/>
      <c r="Z52" s="17"/>
      <c r="AA52" s="106"/>
      <c r="AB52" s="1"/>
      <c r="AC52" s="17"/>
      <c r="AD52" s="35"/>
      <c r="AE52" s="17"/>
      <c r="AF52" s="35"/>
      <c r="AG52" s="17"/>
      <c r="AH52" s="35"/>
      <c r="AI52" s="17"/>
      <c r="AJ52" s="35"/>
      <c r="AK52" s="17"/>
      <c r="AL52" s="35"/>
      <c r="AM52" s="17"/>
      <c r="AN52" s="106"/>
    </row>
    <row r="53" spans="1:48" ht="15.75" thickBot="1" x14ac:dyDescent="0.3">
      <c r="A53" s="26" t="s">
        <v>129</v>
      </c>
      <c r="B53" s="29">
        <v>5943</v>
      </c>
      <c r="C53" s="29">
        <v>5968</v>
      </c>
      <c r="D53" s="29">
        <v>5951</v>
      </c>
      <c r="E53" s="96">
        <v>6016</v>
      </c>
      <c r="F53" s="96">
        <v>5978</v>
      </c>
      <c r="G53" s="29">
        <f>SUM(G6:G51)</f>
        <v>6086</v>
      </c>
      <c r="H53" s="126"/>
      <c r="I53" s="29">
        <v>5543</v>
      </c>
      <c r="J53" s="29">
        <v>5508</v>
      </c>
      <c r="K53" s="29">
        <v>5510</v>
      </c>
      <c r="L53" s="29">
        <v>5528</v>
      </c>
      <c r="M53" s="29">
        <v>5574</v>
      </c>
      <c r="N53" s="29">
        <f>SUM(N6:N51)</f>
        <v>5641</v>
      </c>
      <c r="O53" s="126"/>
      <c r="P53" s="29">
        <v>598</v>
      </c>
      <c r="Q53" s="28">
        <v>0.1078838174273859</v>
      </c>
      <c r="R53" s="29">
        <v>564</v>
      </c>
      <c r="S53" s="28">
        <v>0.10239651416122005</v>
      </c>
      <c r="T53" s="29">
        <v>472</v>
      </c>
      <c r="U53" s="28">
        <v>8.5662431941923772E-2</v>
      </c>
      <c r="V53" s="29">
        <v>455</v>
      </c>
      <c r="W53" s="28">
        <v>8.2308248914616494E-2</v>
      </c>
      <c r="X53" s="29">
        <v>389</v>
      </c>
      <c r="Y53" s="28">
        <v>6.9788302834589158E-2</v>
      </c>
      <c r="Z53" s="29">
        <f>SUM(Z6:Z51)</f>
        <v>325</v>
      </c>
      <c r="AA53" s="105">
        <f>Z53/N53</f>
        <v>5.7613898244992023E-2</v>
      </c>
      <c r="AB53" s="126"/>
      <c r="AC53" s="29">
        <v>163</v>
      </c>
      <c r="AD53" s="28">
        <v>2.9406458596427928E-2</v>
      </c>
      <c r="AE53" s="29">
        <v>140</v>
      </c>
      <c r="AF53" s="28">
        <v>2.5417574437182282E-2</v>
      </c>
      <c r="AG53" s="29">
        <v>162</v>
      </c>
      <c r="AH53" s="28">
        <v>2.9401088929219599E-2</v>
      </c>
      <c r="AI53" s="29">
        <v>116</v>
      </c>
      <c r="AJ53" s="28">
        <v>2.0984081041968163E-2</v>
      </c>
      <c r="AK53" s="29">
        <v>95</v>
      </c>
      <c r="AL53" s="28">
        <v>1.7043415859346968E-2</v>
      </c>
      <c r="AM53" s="29">
        <f>SUM(AM6:AM51)</f>
        <v>134</v>
      </c>
      <c r="AN53" s="105">
        <f>AM53/N53</f>
        <v>2.3754653430242866E-2</v>
      </c>
    </row>
    <row r="54" spans="1:48" ht="15.75" thickTop="1" x14ac:dyDescent="0.25"/>
  </sheetData>
  <sortState ref="AP6:AV56">
    <sortCondition ref="AP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Home Page</vt:lpstr>
      <vt:lpstr>Yr Over Yr Metrics and Trends</vt:lpstr>
      <vt:lpstr>5 Year ScoreCard</vt:lpstr>
      <vt:lpstr>Assumptions</vt:lpstr>
      <vt:lpstr>Key Metric Settings</vt:lpstr>
      <vt:lpstr>Financial Data Input</vt:lpstr>
      <vt:lpstr>Calculations</vt:lpstr>
      <vt:lpstr>Tables for Filters</vt:lpstr>
      <vt:lpstr>PCards</vt:lpstr>
      <vt:lpstr>Retro Pay</vt:lpstr>
      <vt:lpstr>SP Retro Pay</vt:lpstr>
      <vt:lpstr>Effort Cert</vt:lpstr>
      <vt:lpstr>Concur</vt:lpstr>
      <vt:lpstr>Cash Handling</vt:lpstr>
      <vt:lpstr>Credit Card</vt:lpstr>
      <vt:lpstr>Gift Funds</vt:lpstr>
      <vt:lpstr>Financial Aid</vt:lpstr>
      <vt:lpstr>Capital Equipment</vt:lpstr>
      <vt:lpstr>Certification Responses</vt:lpstr>
      <vt:lpstr>'5 Year ScoreCard'!Print_Area</vt:lpstr>
      <vt:lpstr>Assumptions!Print_Area</vt:lpstr>
      <vt:lpstr>'Yr Over Yr Metrics and Trends'!Print_Area</vt:lpstr>
      <vt:lpstr>'5 Year ScoreCard'!Print_Titles</vt:lpstr>
      <vt:lpstr>Assumptions!Print_Titles</vt:lpstr>
      <vt:lpstr>'Yr Over Yr Metrics and Trends'!Print_Titles</vt:lpstr>
      <vt:lpstr>SelectedYear</vt:lpstr>
      <vt:lpstr>'Yr Over Yr Metrics and Trends'!Years</vt:lpstr>
      <vt:lpstr>Years</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Bressler, Kay</dc:creator>
  <cp:lastModifiedBy>Bressler, Kay</cp:lastModifiedBy>
  <cp:lastPrinted>2019-08-23T13:21:53Z</cp:lastPrinted>
  <dcterms:created xsi:type="dcterms:W3CDTF">2017-03-21T17:31:25Z</dcterms:created>
  <dcterms:modified xsi:type="dcterms:W3CDTF">2019-08-23T13:54:48Z</dcterms:modified>
</cp:coreProperties>
</file>